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3F8875B-B332-4DE1-B8B3-7C8E09477D29}" xr6:coauthVersionLast="47" xr6:coauthVersionMax="47" xr10:uidLastSave="{00000000-0000-0000-0000-000000000000}"/>
  <bookViews>
    <workbookView xWindow="-120" yWindow="-120" windowWidth="29040" windowHeight="15840" tabRatio="992" firstSheet="3" activeTab="16" xr2:uid="{00000000-000D-0000-FFFF-FFFF00000000}"/>
  </bookViews>
  <sheets>
    <sheet name="Bevételek 1m" sheetId="58" r:id="rId1"/>
    <sheet name="Kiadások2m" sheetId="61" r:id="rId2"/>
    <sheet name="Normatíva 3m." sheetId="62" r:id="rId3"/>
    <sheet name="Beruházások 4m" sheetId="63" r:id="rId4"/>
    <sheet name="Szociális 5m." sheetId="64" r:id="rId5"/>
    <sheet name="Támogatások 6m" sheetId="65" r:id="rId6"/>
    <sheet name="Felújítások 7m" sheetId="66" r:id="rId7"/>
    <sheet name="Létszám 8m" sheetId="38" r:id="rId8"/>
    <sheet name="Közvetett 9m " sheetId="27" r:id="rId9"/>
    <sheet name="Tartalék 10m" sheetId="67" r:id="rId10"/>
    <sheet name="Gördülő 11m" sheetId="68" r:id="rId11"/>
    <sheet name="Kötelezettség 12m" sheetId="28" r:id="rId12"/>
    <sheet name="Hitel 13m" sheetId="32" r:id="rId13"/>
    <sheet name="Likvid 14m" sheetId="33" r:id="rId14"/>
    <sheet name="Kötelező 15m" sheetId="34" r:id="rId15"/>
    <sheet name="Unio 16m" sheetId="39" r:id="rId16"/>
    <sheet name="Mérleg 17m" sheetId="70" r:id="rId17"/>
    <sheet name="Címrend" sheetId="3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3">'Beruházások 4m'!$A$1:$Y$37</definedName>
    <definedName name="_xlnm.Print_Area" localSheetId="0">'Bevételek 1m'!$A$1:$Z$191</definedName>
    <definedName name="_xlnm.Print_Area" localSheetId="6">'Felújítások 7m'!$A$1:$AA$25</definedName>
    <definedName name="_xlnm.Print_Area" localSheetId="10">'Gördülő 11m'!$A$1:$H$28</definedName>
    <definedName name="_xlnm.Print_Area" localSheetId="12">'Hitel 13m'!$A$1:$N$15</definedName>
    <definedName name="_xlnm.Print_Area" localSheetId="1">Kiadások2m!$A$1:$Y$165</definedName>
    <definedName name="_xlnm.Print_Area" localSheetId="14">'Kötelező 15m'!$A$1:$S$105</definedName>
    <definedName name="_xlnm.Print_Area" localSheetId="13">'Likvid 14m'!$A$1:$O$25</definedName>
    <definedName name="_xlnm.Print_Area" localSheetId="16">'Mérleg 17m'!$A$1:$AO$34</definedName>
    <definedName name="_xlnm.Print_Area" localSheetId="2">'Normatíva 3m.'!$A$1:$Z$62</definedName>
    <definedName name="_xlnm.Print_Area" localSheetId="4">'Szociális 5m.'!$A$1:$O$17</definedName>
    <definedName name="_xlnm.Print_Area" localSheetId="5">'Támogatások 6m'!$A$1:$X$89</definedName>
    <definedName name="_xlnm.Print_Area" localSheetId="9">'Tartalék 10m'!$A$1:$X$24</definedName>
    <definedName name="_xlnm.Print_Area" localSheetId="15">'Unio 16m'!$A$1:$G$154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70" l="1"/>
  <c r="AN35" i="70"/>
  <c r="AM35" i="70"/>
  <c r="AL35" i="70"/>
  <c r="AK35" i="70"/>
  <c r="AJ35" i="70"/>
  <c r="AI35" i="70"/>
  <c r="AH35" i="70"/>
  <c r="AG35" i="70"/>
  <c r="AB31" i="70"/>
  <c r="AN30" i="70"/>
  <c r="AL30" i="70"/>
  <c r="AJ30" i="70"/>
  <c r="AM29" i="70"/>
  <c r="AO29" i="70" s="1"/>
  <c r="AK29" i="70"/>
  <c r="AF29" i="70"/>
  <c r="AE29" i="70"/>
  <c r="AD29" i="70"/>
  <c r="Y29" i="70"/>
  <c r="T29" i="70"/>
  <c r="R29" i="70"/>
  <c r="R31" i="70" s="1"/>
  <c r="Q29" i="70"/>
  <c r="S29" i="70" s="1"/>
  <c r="U29" i="70" s="1"/>
  <c r="P29" i="70"/>
  <c r="O29" i="70"/>
  <c r="N29" i="70"/>
  <c r="M29" i="70"/>
  <c r="AE28" i="70"/>
  <c r="AD28" i="70"/>
  <c r="S28" i="70"/>
  <c r="U28" i="70" s="1"/>
  <c r="AA27" i="70"/>
  <c r="AA31" i="70" s="1"/>
  <c r="Z27" i="70"/>
  <c r="Z31" i="70" s="1"/>
  <c r="Y27" i="70"/>
  <c r="Y31" i="70" s="1"/>
  <c r="X27" i="70"/>
  <c r="X31" i="70" s="1"/>
  <c r="W27" i="70"/>
  <c r="W31" i="70" s="1"/>
  <c r="F27" i="70"/>
  <c r="F31" i="70" s="1"/>
  <c r="D27" i="70"/>
  <c r="D31" i="70" s="1"/>
  <c r="C27" i="70"/>
  <c r="C31" i="70" s="1"/>
  <c r="AN26" i="70"/>
  <c r="AL26" i="70"/>
  <c r="AL27" i="70" s="1"/>
  <c r="AL31" i="70" s="1"/>
  <c r="AK26" i="70"/>
  <c r="AJ26" i="70"/>
  <c r="AI26" i="70"/>
  <c r="AH26" i="70"/>
  <c r="AG26" i="70"/>
  <c r="AF26" i="70"/>
  <c r="AD26" i="70"/>
  <c r="AD27" i="70" s="1"/>
  <c r="AC26" i="70"/>
  <c r="Y26" i="70"/>
  <c r="AM25" i="70"/>
  <c r="AO25" i="70" s="1"/>
  <c r="AM24" i="70"/>
  <c r="AO24" i="70" s="1"/>
  <c r="AO23" i="70"/>
  <c r="AM23" i="70"/>
  <c r="AN22" i="70"/>
  <c r="AM22" i="70"/>
  <c r="AO22" i="70" s="1"/>
  <c r="AL22" i="70"/>
  <c r="AK22" i="70"/>
  <c r="AJ22" i="70"/>
  <c r="AI22" i="70"/>
  <c r="AH22" i="70"/>
  <c r="AH27" i="70" s="1"/>
  <c r="AH31" i="70" s="1"/>
  <c r="AG22" i="70"/>
  <c r="AF22" i="70"/>
  <c r="AE22" i="70"/>
  <c r="AD22" i="70"/>
  <c r="AC22" i="70"/>
  <c r="T22" i="70"/>
  <c r="T27" i="70" s="1"/>
  <c r="T31" i="70" s="1"/>
  <c r="S22" i="70"/>
  <c r="U22" i="70" s="1"/>
  <c r="R22" i="70"/>
  <c r="Q22" i="70"/>
  <c r="P22" i="70"/>
  <c r="O22" i="70"/>
  <c r="N22" i="70"/>
  <c r="M22" i="70"/>
  <c r="L22" i="70"/>
  <c r="K22" i="70"/>
  <c r="J22" i="70"/>
  <c r="I22" i="70"/>
  <c r="H22" i="70"/>
  <c r="E22" i="70"/>
  <c r="G22" i="70" s="1"/>
  <c r="AN21" i="70"/>
  <c r="AL21" i="70"/>
  <c r="AK21" i="70"/>
  <c r="AK27" i="70" s="1"/>
  <c r="AJ21" i="70"/>
  <c r="AJ27" i="70" s="1"/>
  <c r="AI21" i="70"/>
  <c r="AH21" i="70"/>
  <c r="AG21" i="70"/>
  <c r="AG27" i="70" s="1"/>
  <c r="AG31" i="70" s="1"/>
  <c r="AF21" i="70"/>
  <c r="AF27" i="70" s="1"/>
  <c r="AF31" i="70" s="1"/>
  <c r="AE21" i="70"/>
  <c r="AD21" i="70"/>
  <c r="AC21" i="70"/>
  <c r="AB21" i="70"/>
  <c r="T21" i="70"/>
  <c r="R21" i="70"/>
  <c r="Q21" i="70"/>
  <c r="S21" i="70" s="1"/>
  <c r="U21" i="70" s="1"/>
  <c r="P21" i="70"/>
  <c r="O21" i="70"/>
  <c r="N21" i="70"/>
  <c r="M21" i="70"/>
  <c r="L21" i="70"/>
  <c r="K21" i="70"/>
  <c r="J21" i="70"/>
  <c r="I21" i="70"/>
  <c r="H21" i="70"/>
  <c r="E21" i="70"/>
  <c r="G21" i="70" s="1"/>
  <c r="AN20" i="70"/>
  <c r="AL20" i="70"/>
  <c r="AK20" i="70"/>
  <c r="AM20" i="70" s="1"/>
  <c r="AO20" i="70" s="1"/>
  <c r="AJ20" i="70"/>
  <c r="AI20" i="70"/>
  <c r="AH20" i="70"/>
  <c r="Y20" i="70"/>
  <c r="T20" i="70"/>
  <c r="R20" i="70"/>
  <c r="R27" i="70" s="1"/>
  <c r="Q20" i="70"/>
  <c r="Q27" i="70" s="1"/>
  <c r="Q31" i="70" s="1"/>
  <c r="P20" i="70"/>
  <c r="O20" i="70"/>
  <c r="N20" i="70"/>
  <c r="N27" i="70" s="1"/>
  <c r="N31" i="70" s="1"/>
  <c r="M20" i="70"/>
  <c r="M27" i="70" s="1"/>
  <c r="M31" i="70" s="1"/>
  <c r="L20" i="70"/>
  <c r="K20" i="70"/>
  <c r="J20" i="70"/>
  <c r="J27" i="70" s="1"/>
  <c r="J31" i="70" s="1"/>
  <c r="I20" i="70"/>
  <c r="I27" i="70" s="1"/>
  <c r="H20" i="70"/>
  <c r="E20" i="70"/>
  <c r="X19" i="70"/>
  <c r="AK18" i="70"/>
  <c r="AM18" i="70" s="1"/>
  <c r="AO18" i="70" s="1"/>
  <c r="Z17" i="70"/>
  <c r="Z19" i="70" s="1"/>
  <c r="X17" i="70"/>
  <c r="W17" i="70"/>
  <c r="W19" i="70" s="1"/>
  <c r="W32" i="70" s="1"/>
  <c r="F17" i="70"/>
  <c r="F32" i="70" s="1"/>
  <c r="D17" i="70"/>
  <c r="D32" i="70" s="1"/>
  <c r="C17" i="70"/>
  <c r="C19" i="70" s="1"/>
  <c r="AN15" i="70"/>
  <c r="AL15" i="70"/>
  <c r="AM15" i="70" s="1"/>
  <c r="AO15" i="70" s="1"/>
  <c r="G15" i="70"/>
  <c r="AN14" i="70"/>
  <c r="AL14" i="70"/>
  <c r="AK14" i="70"/>
  <c r="AM14" i="70" s="1"/>
  <c r="AO14" i="70" s="1"/>
  <c r="AJ14" i="70"/>
  <c r="AI14" i="70"/>
  <c r="AH14" i="70"/>
  <c r="AG14" i="70"/>
  <c r="T14" i="70"/>
  <c r="R14" i="70"/>
  <c r="Q14" i="70"/>
  <c r="P14" i="70"/>
  <c r="O14" i="70"/>
  <c r="N14" i="70"/>
  <c r="M14" i="70"/>
  <c r="L14" i="70"/>
  <c r="K14" i="70"/>
  <c r="J14" i="70"/>
  <c r="E14" i="70"/>
  <c r="G14" i="70" s="1"/>
  <c r="AN13" i="70"/>
  <c r="AL13" i="70"/>
  <c r="AM13" i="70" s="1"/>
  <c r="AO13" i="70" s="1"/>
  <c r="AK13" i="70"/>
  <c r="AJ13" i="70"/>
  <c r="AI13" i="70"/>
  <c r="AH13" i="70"/>
  <c r="AG13" i="70"/>
  <c r="T13" i="70"/>
  <c r="R13" i="70"/>
  <c r="Q13" i="70"/>
  <c r="S13" i="70" s="1"/>
  <c r="U13" i="70" s="1"/>
  <c r="P13" i="70"/>
  <c r="O13" i="70"/>
  <c r="N13" i="70"/>
  <c r="M13" i="70"/>
  <c r="L13" i="70"/>
  <c r="K13" i="70"/>
  <c r="J13" i="70"/>
  <c r="I13" i="70"/>
  <c r="H13" i="70"/>
  <c r="E13" i="70"/>
  <c r="G13" i="70" s="1"/>
  <c r="AN12" i="70"/>
  <c r="AL12" i="70"/>
  <c r="AK12" i="70"/>
  <c r="AJ12" i="70"/>
  <c r="AI12" i="70"/>
  <c r="AH12" i="70"/>
  <c r="AG12" i="70"/>
  <c r="T12" i="70"/>
  <c r="R12" i="70"/>
  <c r="Q12" i="70"/>
  <c r="S12" i="70" s="1"/>
  <c r="U12" i="70" s="1"/>
  <c r="P12" i="70"/>
  <c r="O12" i="70"/>
  <c r="N12" i="70"/>
  <c r="M12" i="70"/>
  <c r="L12" i="70"/>
  <c r="K12" i="70"/>
  <c r="J12" i="70"/>
  <c r="I12" i="70"/>
  <c r="H12" i="70"/>
  <c r="E12" i="70"/>
  <c r="G12" i="70" s="1"/>
  <c r="AN11" i="70"/>
  <c r="AL11" i="70"/>
  <c r="AL17" i="70" s="1"/>
  <c r="AL19" i="70" s="1"/>
  <c r="AK11" i="70"/>
  <c r="AJ11" i="70"/>
  <c r="AI11" i="70"/>
  <c r="AH11" i="70"/>
  <c r="AH17" i="70" s="1"/>
  <c r="AH19" i="70" s="1"/>
  <c r="AG11" i="70"/>
  <c r="AF11" i="70"/>
  <c r="AC11" i="70"/>
  <c r="AB11" i="70"/>
  <c r="Y11" i="70"/>
  <c r="T11" i="70"/>
  <c r="R11" i="70"/>
  <c r="S11" i="70" s="1"/>
  <c r="U11" i="70" s="1"/>
  <c r="Q11" i="70"/>
  <c r="P11" i="70"/>
  <c r="O11" i="70"/>
  <c r="N11" i="70"/>
  <c r="M11" i="70"/>
  <c r="L11" i="70"/>
  <c r="K11" i="70"/>
  <c r="J11" i="70"/>
  <c r="I11" i="70"/>
  <c r="H11" i="70"/>
  <c r="E11" i="70"/>
  <c r="G11" i="70" s="1"/>
  <c r="AN10" i="70"/>
  <c r="AL10" i="70"/>
  <c r="AK10" i="70"/>
  <c r="AM10" i="70" s="1"/>
  <c r="AO10" i="70" s="1"/>
  <c r="AJ10" i="70"/>
  <c r="AI10" i="70"/>
  <c r="AH10" i="70"/>
  <c r="AG10" i="70"/>
  <c r="AF10" i="70"/>
  <c r="AE10" i="70"/>
  <c r="AD10" i="70"/>
  <c r="AD17" i="70" s="1"/>
  <c r="AD19" i="70" s="1"/>
  <c r="AD32" i="70" s="1"/>
  <c r="AC10" i="70"/>
  <c r="AB10" i="70"/>
  <c r="Y10" i="70"/>
  <c r="AA10" i="70" s="1"/>
  <c r="T10" i="70"/>
  <c r="R10" i="70"/>
  <c r="Q10" i="70"/>
  <c r="S10" i="70" s="1"/>
  <c r="U10" i="70" s="1"/>
  <c r="P10" i="70"/>
  <c r="O10" i="70"/>
  <c r="N10" i="70"/>
  <c r="M10" i="70"/>
  <c r="L10" i="70"/>
  <c r="K10" i="70"/>
  <c r="J10" i="70"/>
  <c r="I10" i="70"/>
  <c r="H10" i="70"/>
  <c r="G10" i="70"/>
  <c r="E10" i="70"/>
  <c r="AN9" i="70"/>
  <c r="AN17" i="70" s="1"/>
  <c r="AN19" i="70" s="1"/>
  <c r="AM9" i="70"/>
  <c r="AO9" i="70" s="1"/>
  <c r="AL9" i="70"/>
  <c r="AK9" i="70"/>
  <c r="AJ9" i="70"/>
  <c r="AI9" i="70"/>
  <c r="AI17" i="70" s="1"/>
  <c r="AI19" i="70" s="1"/>
  <c r="AH9" i="70"/>
  <c r="AG9" i="70"/>
  <c r="AF9" i="70"/>
  <c r="AF17" i="70" s="1"/>
  <c r="AF19" i="70" s="1"/>
  <c r="AE9" i="70"/>
  <c r="AE17" i="70" s="1"/>
  <c r="AE19" i="70" s="1"/>
  <c r="AD9" i="70"/>
  <c r="AC9" i="70"/>
  <c r="AB9" i="70"/>
  <c r="AB17" i="70" s="1"/>
  <c r="AB19" i="70" s="1"/>
  <c r="AB32" i="70" s="1"/>
  <c r="AA9" i="70"/>
  <c r="Y9" i="70"/>
  <c r="T9" i="70"/>
  <c r="R9" i="70"/>
  <c r="R17" i="70" s="1"/>
  <c r="R19" i="70" s="1"/>
  <c r="R32" i="70" s="1"/>
  <c r="R35" i="70" s="1"/>
  <c r="Q9" i="70"/>
  <c r="P9" i="70"/>
  <c r="O9" i="70"/>
  <c r="N9" i="70"/>
  <c r="N17" i="70" s="1"/>
  <c r="N19" i="70" s="1"/>
  <c r="M9" i="70"/>
  <c r="L9" i="70"/>
  <c r="K9" i="70"/>
  <c r="J9" i="70"/>
  <c r="J17" i="70" s="1"/>
  <c r="I9" i="70"/>
  <c r="H9" i="70"/>
  <c r="E9" i="70"/>
  <c r="G9" i="70" s="1"/>
  <c r="I27" i="68"/>
  <c r="D26" i="68"/>
  <c r="E26" i="68" s="1"/>
  <c r="F26" i="68" s="1"/>
  <c r="G26" i="68" s="1"/>
  <c r="H26" i="68" s="1"/>
  <c r="D25" i="68"/>
  <c r="E25" i="68" s="1"/>
  <c r="F25" i="68" s="1"/>
  <c r="G25" i="68" s="1"/>
  <c r="H25" i="68" s="1"/>
  <c r="D24" i="68"/>
  <c r="E24" i="68" s="1"/>
  <c r="I22" i="68"/>
  <c r="F21" i="68"/>
  <c r="G21" i="68" s="1"/>
  <c r="E21" i="68"/>
  <c r="D20" i="68"/>
  <c r="E19" i="68"/>
  <c r="F19" i="68" s="1"/>
  <c r="G19" i="68" s="1"/>
  <c r="D19" i="68"/>
  <c r="F18" i="68"/>
  <c r="G18" i="68" s="1"/>
  <c r="E18" i="68"/>
  <c r="D17" i="68"/>
  <c r="E17" i="68" s="1"/>
  <c r="F17" i="68" s="1"/>
  <c r="G17" i="68" s="1"/>
  <c r="H17" i="68" s="1"/>
  <c r="E16" i="68"/>
  <c r="F16" i="68" s="1"/>
  <c r="G16" i="68" s="1"/>
  <c r="D16" i="68"/>
  <c r="D15" i="68"/>
  <c r="E15" i="68" s="1"/>
  <c r="F15" i="68" s="1"/>
  <c r="G15" i="68" s="1"/>
  <c r="H15" i="68" s="1"/>
  <c r="D14" i="68"/>
  <c r="E14" i="68" s="1"/>
  <c r="F14" i="68" s="1"/>
  <c r="G14" i="68" s="1"/>
  <c r="E13" i="68"/>
  <c r="F13" i="68" s="1"/>
  <c r="G13" i="68" s="1"/>
  <c r="D12" i="68"/>
  <c r="E12" i="68" s="1"/>
  <c r="F12" i="68" s="1"/>
  <c r="G12" i="68" s="1"/>
  <c r="H12" i="68" s="1"/>
  <c r="D11" i="68"/>
  <c r="E11" i="68" s="1"/>
  <c r="F11" i="68" s="1"/>
  <c r="G11" i="68" s="1"/>
  <c r="H11" i="68" s="1"/>
  <c r="D10" i="68"/>
  <c r="E10" i="68" s="1"/>
  <c r="F10" i="68" s="1"/>
  <c r="G10" i="68" s="1"/>
  <c r="D9" i="68"/>
  <c r="E9" i="68" s="1"/>
  <c r="F9" i="68" s="1"/>
  <c r="G9" i="68" s="1"/>
  <c r="G8" i="68"/>
  <c r="F8" i="68"/>
  <c r="D7" i="68"/>
  <c r="E7" i="68" s="1"/>
  <c r="F7" i="68" s="1"/>
  <c r="G7" i="68" s="1"/>
  <c r="H7" i="68" s="1"/>
  <c r="D6" i="68"/>
  <c r="D22" i="68" s="1"/>
  <c r="F23" i="67"/>
  <c r="D23" i="67"/>
  <c r="U22" i="67"/>
  <c r="T22" i="67"/>
  <c r="V22" i="67" s="1"/>
  <c r="S22" i="67"/>
  <c r="R22" i="67"/>
  <c r="Q22" i="67"/>
  <c r="K22" i="67"/>
  <c r="K23" i="67" s="1"/>
  <c r="I22" i="67"/>
  <c r="I23" i="67" s="1"/>
  <c r="H22" i="67"/>
  <c r="J22" i="67" s="1"/>
  <c r="L22" i="67" s="1"/>
  <c r="J10" i="67"/>
  <c r="L10" i="67" s="1"/>
  <c r="X9" i="67"/>
  <c r="W9" i="67"/>
  <c r="W23" i="67" s="1"/>
  <c r="W26" i="67" s="1"/>
  <c r="V9" i="67"/>
  <c r="U9" i="67"/>
  <c r="U23" i="67" s="1"/>
  <c r="U26" i="67" s="1"/>
  <c r="T9" i="67"/>
  <c r="S9" i="67"/>
  <c r="S23" i="67" s="1"/>
  <c r="S26" i="67" s="1"/>
  <c r="R9" i="67"/>
  <c r="Q9" i="67"/>
  <c r="Q23" i="67" s="1"/>
  <c r="Q26" i="67" s="1"/>
  <c r="P9" i="67"/>
  <c r="P23" i="67" s="1"/>
  <c r="P26" i="67" s="1"/>
  <c r="O9" i="67"/>
  <c r="O23" i="67" s="1"/>
  <c r="O26" i="67" s="1"/>
  <c r="N9" i="67"/>
  <c r="N23" i="67" s="1"/>
  <c r="N26" i="67" s="1"/>
  <c r="M9" i="67"/>
  <c r="M23" i="67" s="1"/>
  <c r="H9" i="67"/>
  <c r="J9" i="67" s="1"/>
  <c r="G9" i="67"/>
  <c r="G23" i="67" s="1"/>
  <c r="F9" i="67"/>
  <c r="E9" i="67"/>
  <c r="E23" i="67" s="1"/>
  <c r="D9" i="67"/>
  <c r="T26" i="66"/>
  <c r="Z23" i="66"/>
  <c r="Z26" i="66" s="1"/>
  <c r="X23" i="66"/>
  <c r="X26" i="66" s="1"/>
  <c r="V23" i="66"/>
  <c r="V26" i="66" s="1"/>
  <c r="U23" i="66"/>
  <c r="U26" i="66" s="1"/>
  <c r="T23" i="66"/>
  <c r="S23" i="66"/>
  <c r="S26" i="66" s="1"/>
  <c r="R23" i="66"/>
  <c r="R26" i="66" s="1"/>
  <c r="Q23" i="66"/>
  <c r="Q26" i="66" s="1"/>
  <c r="P23" i="66"/>
  <c r="N23" i="66"/>
  <c r="L23" i="66"/>
  <c r="K23" i="66"/>
  <c r="J23" i="66"/>
  <c r="H23" i="66"/>
  <c r="G23" i="66"/>
  <c r="F23" i="66"/>
  <c r="E23" i="66"/>
  <c r="D23" i="66"/>
  <c r="W22" i="66"/>
  <c r="Y22" i="66" s="1"/>
  <c r="AA22" i="66" s="1"/>
  <c r="Y21" i="66"/>
  <c r="AA21" i="66" s="1"/>
  <c r="W21" i="66"/>
  <c r="AA20" i="66"/>
  <c r="Y19" i="66"/>
  <c r="AA19" i="66" s="1"/>
  <c r="Y18" i="66"/>
  <c r="AA18" i="66" s="1"/>
  <c r="W18" i="66"/>
  <c r="O18" i="66"/>
  <c r="M18" i="66"/>
  <c r="I18" i="66"/>
  <c r="I23" i="66" s="1"/>
  <c r="Y17" i="66"/>
  <c r="AA17" i="66" s="1"/>
  <c r="Y16" i="66"/>
  <c r="AA16" i="66" s="1"/>
  <c r="W16" i="66"/>
  <c r="W15" i="66"/>
  <c r="Y15" i="66" s="1"/>
  <c r="AA15" i="66" s="1"/>
  <c r="W14" i="66"/>
  <c r="Y14" i="66" s="1"/>
  <c r="AA14" i="66" s="1"/>
  <c r="W13" i="66"/>
  <c r="Y13" i="66" s="1"/>
  <c r="AA13" i="66" s="1"/>
  <c r="Y12" i="66"/>
  <c r="AA12" i="66" s="1"/>
  <c r="W12" i="66"/>
  <c r="O12" i="66"/>
  <c r="M12" i="66"/>
  <c r="W11" i="66"/>
  <c r="M11" i="66"/>
  <c r="O11" i="66" s="1"/>
  <c r="Y10" i="66"/>
  <c r="W10" i="66"/>
  <c r="O10" i="66"/>
  <c r="M10" i="66"/>
  <c r="M23" i="66" s="1"/>
  <c r="P88" i="65"/>
  <c r="P94" i="65" s="1"/>
  <c r="O88" i="65"/>
  <c r="O94" i="65" s="1"/>
  <c r="N88" i="65"/>
  <c r="N94" i="65" s="1"/>
  <c r="M88" i="65"/>
  <c r="K88" i="65"/>
  <c r="G88" i="65"/>
  <c r="F88" i="65"/>
  <c r="H88" i="65" s="1"/>
  <c r="E88" i="65"/>
  <c r="D88" i="65"/>
  <c r="T87" i="65"/>
  <c r="V87" i="65" s="1"/>
  <c r="X87" i="65" s="1"/>
  <c r="S87" i="65"/>
  <c r="R87" i="65"/>
  <c r="Q87" i="65"/>
  <c r="J87" i="65"/>
  <c r="L87" i="65" s="1"/>
  <c r="W86" i="65"/>
  <c r="T86" i="65"/>
  <c r="V86" i="65" s="1"/>
  <c r="X86" i="65" s="1"/>
  <c r="S86" i="65"/>
  <c r="R86" i="65"/>
  <c r="R88" i="65" s="1"/>
  <c r="R94" i="65" s="1"/>
  <c r="Q86" i="65"/>
  <c r="H86" i="65"/>
  <c r="J86" i="65" s="1"/>
  <c r="L86" i="65" s="1"/>
  <c r="W85" i="65"/>
  <c r="U85" i="65"/>
  <c r="U88" i="65" s="1"/>
  <c r="U94" i="65" s="1"/>
  <c r="T85" i="65"/>
  <c r="S85" i="65"/>
  <c r="R85" i="65"/>
  <c r="Q85" i="65"/>
  <c r="H85" i="65"/>
  <c r="J85" i="65" s="1"/>
  <c r="L85" i="65" s="1"/>
  <c r="W84" i="65"/>
  <c r="T84" i="65"/>
  <c r="S84" i="65"/>
  <c r="S88" i="65" s="1"/>
  <c r="S94" i="65" s="1"/>
  <c r="R84" i="65"/>
  <c r="Q84" i="65"/>
  <c r="J84" i="65"/>
  <c r="L84" i="65" s="1"/>
  <c r="X81" i="65"/>
  <c r="W81" i="65"/>
  <c r="V81" i="65"/>
  <c r="U81" i="65"/>
  <c r="T81" i="65"/>
  <c r="S81" i="65"/>
  <c r="R81" i="65"/>
  <c r="Q81" i="65"/>
  <c r="P81" i="65"/>
  <c r="O81" i="65"/>
  <c r="N81" i="65"/>
  <c r="M81" i="65"/>
  <c r="W79" i="65"/>
  <c r="W93" i="65" s="1"/>
  <c r="U79" i="65"/>
  <c r="U93" i="65" s="1"/>
  <c r="S79" i="65"/>
  <c r="S93" i="65" s="1"/>
  <c r="R79" i="65"/>
  <c r="R93" i="65" s="1"/>
  <c r="Q79" i="65"/>
  <c r="Q93" i="65" s="1"/>
  <c r="P79" i="65"/>
  <c r="P93" i="65" s="1"/>
  <c r="O79" i="65"/>
  <c r="O93" i="65" s="1"/>
  <c r="N79" i="65"/>
  <c r="N93" i="65" s="1"/>
  <c r="M79" i="65"/>
  <c r="L79" i="65"/>
  <c r="J79" i="65"/>
  <c r="H79" i="65"/>
  <c r="F79" i="65"/>
  <c r="E79" i="65"/>
  <c r="D79" i="65"/>
  <c r="T78" i="65"/>
  <c r="V78" i="65" s="1"/>
  <c r="X78" i="65" s="1"/>
  <c r="V77" i="65"/>
  <c r="X77" i="65" s="1"/>
  <c r="T77" i="65"/>
  <c r="T76" i="65"/>
  <c r="V76" i="65" s="1"/>
  <c r="X76" i="65" s="1"/>
  <c r="T75" i="65"/>
  <c r="V75" i="65" s="1"/>
  <c r="X75" i="65" s="1"/>
  <c r="T74" i="65"/>
  <c r="T79" i="65" s="1"/>
  <c r="T93" i="65" s="1"/>
  <c r="X71" i="65"/>
  <c r="W71" i="65"/>
  <c r="V71" i="65"/>
  <c r="U71" i="65"/>
  <c r="T71" i="65"/>
  <c r="S71" i="65"/>
  <c r="R71" i="65"/>
  <c r="Q71" i="65"/>
  <c r="P71" i="65"/>
  <c r="O71" i="65"/>
  <c r="N71" i="65"/>
  <c r="M71" i="65"/>
  <c r="W70" i="65"/>
  <c r="U70" i="65"/>
  <c r="S70" i="65"/>
  <c r="R70" i="65"/>
  <c r="Q70" i="65"/>
  <c r="P70" i="65"/>
  <c r="P92" i="65" s="1"/>
  <c r="O70" i="65"/>
  <c r="N70" i="65"/>
  <c r="M70" i="65"/>
  <c r="F70" i="65"/>
  <c r="D70" i="65"/>
  <c r="T69" i="65"/>
  <c r="V69" i="65" s="1"/>
  <c r="X69" i="65" s="1"/>
  <c r="V68" i="65"/>
  <c r="X68" i="65" s="1"/>
  <c r="T68" i="65"/>
  <c r="I68" i="65"/>
  <c r="T67" i="65"/>
  <c r="V67" i="65" s="1"/>
  <c r="X67" i="65" s="1"/>
  <c r="T66" i="65"/>
  <c r="V66" i="65" s="1"/>
  <c r="X66" i="65" s="1"/>
  <c r="J66" i="65"/>
  <c r="L66" i="65" s="1"/>
  <c r="T65" i="65"/>
  <c r="V65" i="65" s="1"/>
  <c r="X65" i="65" s="1"/>
  <c r="I65" i="65"/>
  <c r="V64" i="65"/>
  <c r="X64" i="65" s="1"/>
  <c r="T64" i="65"/>
  <c r="I64" i="65"/>
  <c r="V63" i="65"/>
  <c r="X63" i="65" s="1"/>
  <c r="T62" i="65"/>
  <c r="V62" i="65" s="1"/>
  <c r="I62" i="65"/>
  <c r="X59" i="65"/>
  <c r="W59" i="65"/>
  <c r="V59" i="65"/>
  <c r="U59" i="65"/>
  <c r="T59" i="65"/>
  <c r="S59" i="65"/>
  <c r="R59" i="65"/>
  <c r="Q59" i="65"/>
  <c r="P59" i="65"/>
  <c r="O59" i="65"/>
  <c r="N59" i="65"/>
  <c r="M59" i="65"/>
  <c r="W58" i="65"/>
  <c r="U58" i="65"/>
  <c r="S58" i="65"/>
  <c r="R58" i="65"/>
  <c r="Q58" i="65"/>
  <c r="Q92" i="65" s="1"/>
  <c r="P58" i="65"/>
  <c r="O58" i="65"/>
  <c r="N58" i="65"/>
  <c r="M58" i="65"/>
  <c r="L58" i="65"/>
  <c r="K58" i="65"/>
  <c r="J58" i="65"/>
  <c r="F58" i="65"/>
  <c r="H58" i="65" s="1"/>
  <c r="E58" i="65"/>
  <c r="D58" i="65"/>
  <c r="T57" i="65"/>
  <c r="V57" i="65" s="1"/>
  <c r="X57" i="65" s="1"/>
  <c r="T56" i="65"/>
  <c r="V56" i="65" s="1"/>
  <c r="X56" i="65" s="1"/>
  <c r="V55" i="65"/>
  <c r="X55" i="65" s="1"/>
  <c r="X54" i="65"/>
  <c r="X53" i="65"/>
  <c r="X52" i="65"/>
  <c r="X51" i="65"/>
  <c r="X50" i="65"/>
  <c r="X49" i="65"/>
  <c r="X48" i="65"/>
  <c r="X47" i="65"/>
  <c r="X46" i="65"/>
  <c r="V45" i="65"/>
  <c r="X45" i="65" s="1"/>
  <c r="V44" i="65"/>
  <c r="X44" i="65" s="1"/>
  <c r="V43" i="65"/>
  <c r="X43" i="65" s="1"/>
  <c r="X42" i="65"/>
  <c r="V42" i="65"/>
  <c r="V41" i="65"/>
  <c r="X41" i="65" s="1"/>
  <c r="V40" i="65"/>
  <c r="X40" i="65" s="1"/>
  <c r="V39" i="65"/>
  <c r="X39" i="65" s="1"/>
  <c r="X38" i="65"/>
  <c r="V38" i="65"/>
  <c r="T37" i="65"/>
  <c r="V37" i="65" s="1"/>
  <c r="X37" i="65" s="1"/>
  <c r="T36" i="65"/>
  <c r="V36" i="65" s="1"/>
  <c r="X36" i="65" s="1"/>
  <c r="T35" i="65"/>
  <c r="V35" i="65" s="1"/>
  <c r="X35" i="65" s="1"/>
  <c r="T34" i="65"/>
  <c r="V34" i="65" s="1"/>
  <c r="X34" i="65" s="1"/>
  <c r="T33" i="65"/>
  <c r="V33" i="65" s="1"/>
  <c r="X33" i="65" s="1"/>
  <c r="T32" i="65"/>
  <c r="V32" i="65" s="1"/>
  <c r="X32" i="65" s="1"/>
  <c r="T31" i="65"/>
  <c r="V31" i="65" s="1"/>
  <c r="X31" i="65" s="1"/>
  <c r="V30" i="65"/>
  <c r="X30" i="65" s="1"/>
  <c r="T30" i="65"/>
  <c r="T29" i="65"/>
  <c r="V29" i="65" s="1"/>
  <c r="X29" i="65" s="1"/>
  <c r="T28" i="65"/>
  <c r="V28" i="65" s="1"/>
  <c r="X28" i="65" s="1"/>
  <c r="T27" i="65"/>
  <c r="V27" i="65" s="1"/>
  <c r="X27" i="65" s="1"/>
  <c r="T26" i="65"/>
  <c r="V26" i="65" s="1"/>
  <c r="X26" i="65" s="1"/>
  <c r="T25" i="65"/>
  <c r="V25" i="65" s="1"/>
  <c r="X25" i="65" s="1"/>
  <c r="T24" i="65"/>
  <c r="V24" i="65" s="1"/>
  <c r="X24" i="65" s="1"/>
  <c r="T23" i="65"/>
  <c r="V23" i="65" s="1"/>
  <c r="X23" i="65" s="1"/>
  <c r="I23" i="65"/>
  <c r="T22" i="65"/>
  <c r="V22" i="65" s="1"/>
  <c r="X22" i="65" s="1"/>
  <c r="I22" i="65"/>
  <c r="T21" i="65"/>
  <c r="V21" i="65" s="1"/>
  <c r="X21" i="65" s="1"/>
  <c r="I21" i="65"/>
  <c r="T20" i="65"/>
  <c r="V20" i="65" s="1"/>
  <c r="X20" i="65" s="1"/>
  <c r="I20" i="65"/>
  <c r="T19" i="65"/>
  <c r="V19" i="65" s="1"/>
  <c r="X19" i="65" s="1"/>
  <c r="I19" i="65"/>
  <c r="T18" i="65"/>
  <c r="V18" i="65" s="1"/>
  <c r="X18" i="65" s="1"/>
  <c r="I18" i="65"/>
  <c r="T17" i="65"/>
  <c r="V17" i="65" s="1"/>
  <c r="X17" i="65" s="1"/>
  <c r="I17" i="65"/>
  <c r="I58" i="65" s="1"/>
  <c r="T16" i="65"/>
  <c r="V16" i="65" s="1"/>
  <c r="X16" i="65" s="1"/>
  <c r="V15" i="65"/>
  <c r="X15" i="65" s="1"/>
  <c r="T15" i="65"/>
  <c r="I15" i="65"/>
  <c r="T14" i="65"/>
  <c r="V14" i="65" s="1"/>
  <c r="X14" i="65" s="1"/>
  <c r="I14" i="65"/>
  <c r="V13" i="65"/>
  <c r="X13" i="65" s="1"/>
  <c r="T12" i="65"/>
  <c r="V12" i="65" s="1"/>
  <c r="X12" i="65" s="1"/>
  <c r="T11" i="65"/>
  <c r="N16" i="64"/>
  <c r="N19" i="64" s="1"/>
  <c r="M16" i="64"/>
  <c r="M19" i="64" s="1"/>
  <c r="L16" i="64"/>
  <c r="L19" i="64" s="1"/>
  <c r="K16" i="64"/>
  <c r="K19" i="64" s="1"/>
  <c r="J16" i="64"/>
  <c r="J19" i="64" s="1"/>
  <c r="I16" i="64"/>
  <c r="I19" i="64" s="1"/>
  <c r="H16" i="64"/>
  <c r="F16" i="64"/>
  <c r="E16" i="64"/>
  <c r="D16" i="64"/>
  <c r="O15" i="64"/>
  <c r="G15" i="64"/>
  <c r="O14" i="64"/>
  <c r="G14" i="64"/>
  <c r="O13" i="64"/>
  <c r="G13" i="64"/>
  <c r="O12" i="64"/>
  <c r="G12" i="64"/>
  <c r="O11" i="64"/>
  <c r="G11" i="64"/>
  <c r="O10" i="64"/>
  <c r="G10" i="64"/>
  <c r="O9" i="64"/>
  <c r="O16" i="64" s="1"/>
  <c r="O19" i="64" s="1"/>
  <c r="G9" i="64"/>
  <c r="G16" i="64" s="1"/>
  <c r="X34" i="63"/>
  <c r="V34" i="63"/>
  <c r="T34" i="63"/>
  <c r="S34" i="63"/>
  <c r="Q34" i="63"/>
  <c r="P34" i="63"/>
  <c r="O34" i="63"/>
  <c r="N34" i="63"/>
  <c r="L34" i="63"/>
  <c r="H34" i="63"/>
  <c r="G34" i="63"/>
  <c r="F34" i="63"/>
  <c r="E34" i="63"/>
  <c r="U33" i="63"/>
  <c r="W33" i="63" s="1"/>
  <c r="Y33" i="63" s="1"/>
  <c r="U32" i="63"/>
  <c r="W32" i="63" s="1"/>
  <c r="Y32" i="63" s="1"/>
  <c r="W31" i="63"/>
  <c r="Y31" i="63" s="1"/>
  <c r="U31" i="63"/>
  <c r="U30" i="63"/>
  <c r="W30" i="63" s="1"/>
  <c r="Y30" i="63" s="1"/>
  <c r="U29" i="63"/>
  <c r="W29" i="63" s="1"/>
  <c r="Y29" i="63" s="1"/>
  <c r="R29" i="63"/>
  <c r="R34" i="63" s="1"/>
  <c r="U28" i="63"/>
  <c r="W28" i="63" s="1"/>
  <c r="Y28" i="63" s="1"/>
  <c r="U27" i="63"/>
  <c r="W27" i="63" s="1"/>
  <c r="Y27" i="63" s="1"/>
  <c r="Q27" i="63"/>
  <c r="U26" i="63"/>
  <c r="W26" i="63" s="1"/>
  <c r="Y26" i="63" s="1"/>
  <c r="U25" i="63"/>
  <c r="W25" i="63" s="1"/>
  <c r="Y25" i="63" s="1"/>
  <c r="U24" i="63"/>
  <c r="W24" i="63" s="1"/>
  <c r="Y24" i="63" s="1"/>
  <c r="U23" i="63"/>
  <c r="W23" i="63" s="1"/>
  <c r="Y23" i="63" s="1"/>
  <c r="U22" i="63"/>
  <c r="W22" i="63" s="1"/>
  <c r="Y22" i="63" s="1"/>
  <c r="W21" i="63"/>
  <c r="Y21" i="63" s="1"/>
  <c r="U21" i="63"/>
  <c r="U20" i="63"/>
  <c r="W20" i="63" s="1"/>
  <c r="Y20" i="63" s="1"/>
  <c r="U19" i="63"/>
  <c r="W19" i="63" s="1"/>
  <c r="Y19" i="63" s="1"/>
  <c r="I19" i="63"/>
  <c r="K19" i="63" s="1"/>
  <c r="M19" i="63" s="1"/>
  <c r="U18" i="63"/>
  <c r="W18" i="63" s="1"/>
  <c r="Y18" i="63" s="1"/>
  <c r="U17" i="63"/>
  <c r="W17" i="63" s="1"/>
  <c r="Y17" i="63" s="1"/>
  <c r="U16" i="63"/>
  <c r="W16" i="63" s="1"/>
  <c r="Y16" i="63" s="1"/>
  <c r="I16" i="63"/>
  <c r="K16" i="63" s="1"/>
  <c r="M16" i="63" s="1"/>
  <c r="W15" i="63"/>
  <c r="Y15" i="63" s="1"/>
  <c r="U15" i="63"/>
  <c r="J15" i="63"/>
  <c r="J34" i="63" s="1"/>
  <c r="I15" i="63"/>
  <c r="U14" i="63"/>
  <c r="I14" i="63"/>
  <c r="K14" i="63" s="1"/>
  <c r="M14" i="63" s="1"/>
  <c r="U13" i="63"/>
  <c r="W13" i="63" s="1"/>
  <c r="Y13" i="63" s="1"/>
  <c r="I13" i="63"/>
  <c r="I34" i="63" s="1"/>
  <c r="N57" i="62"/>
  <c r="X56" i="62"/>
  <c r="Z56" i="62" s="1"/>
  <c r="Z55" i="62" s="1"/>
  <c r="V56" i="62"/>
  <c r="N56" i="62"/>
  <c r="Y55" i="62"/>
  <c r="W55" i="62"/>
  <c r="V55" i="62"/>
  <c r="U55" i="62"/>
  <c r="T55" i="62"/>
  <c r="S55" i="62"/>
  <c r="R55" i="62"/>
  <c r="Q55" i="62"/>
  <c r="N55" i="62"/>
  <c r="V54" i="62"/>
  <c r="X54" i="62" s="1"/>
  <c r="Z54" i="62" s="1"/>
  <c r="V53" i="62"/>
  <c r="V51" i="62" s="1"/>
  <c r="J53" i="62"/>
  <c r="L53" i="62" s="1"/>
  <c r="N53" i="62" s="1"/>
  <c r="X52" i="62"/>
  <c r="Z52" i="62" s="1"/>
  <c r="V52" i="62"/>
  <c r="J52" i="62"/>
  <c r="L52" i="62" s="1"/>
  <c r="Y51" i="62"/>
  <c r="W51" i="62"/>
  <c r="U51" i="62"/>
  <c r="T51" i="62"/>
  <c r="S51" i="62"/>
  <c r="R51" i="62"/>
  <c r="Q51" i="62"/>
  <c r="P51" i="62"/>
  <c r="O51" i="62"/>
  <c r="M51" i="62"/>
  <c r="K51" i="62"/>
  <c r="H51" i="62"/>
  <c r="G51" i="62"/>
  <c r="M50" i="62"/>
  <c r="K50" i="62"/>
  <c r="I50" i="62"/>
  <c r="V49" i="62"/>
  <c r="X49" i="62" s="1"/>
  <c r="Z49" i="62" s="1"/>
  <c r="L49" i="62"/>
  <c r="N49" i="62" s="1"/>
  <c r="V48" i="62"/>
  <c r="X48" i="62" s="1"/>
  <c r="Z48" i="62" s="1"/>
  <c r="J48" i="62"/>
  <c r="L48" i="62" s="1"/>
  <c r="N48" i="62" s="1"/>
  <c r="V47" i="62"/>
  <c r="X47" i="62" s="1"/>
  <c r="Z47" i="62" s="1"/>
  <c r="J47" i="62"/>
  <c r="L47" i="62" s="1"/>
  <c r="N47" i="62" s="1"/>
  <c r="V46" i="62"/>
  <c r="V45" i="62" s="1"/>
  <c r="J46" i="62"/>
  <c r="L46" i="62" s="1"/>
  <c r="L45" i="62" s="1"/>
  <c r="Y45" i="62"/>
  <c r="W45" i="62"/>
  <c r="W50" i="62" s="1"/>
  <c r="U45" i="62"/>
  <c r="T45" i="62"/>
  <c r="S45" i="62"/>
  <c r="R45" i="62"/>
  <c r="Q45" i="62"/>
  <c r="P45" i="62"/>
  <c r="O45" i="62"/>
  <c r="O50" i="62" s="1"/>
  <c r="M45" i="62"/>
  <c r="J45" i="62"/>
  <c r="H45" i="62"/>
  <c r="G45" i="62"/>
  <c r="V44" i="62"/>
  <c r="X44" i="62" s="1"/>
  <c r="Z44" i="62" s="1"/>
  <c r="J44" i="62"/>
  <c r="L44" i="62" s="1"/>
  <c r="N44" i="62" s="1"/>
  <c r="V43" i="62"/>
  <c r="X43" i="62" s="1"/>
  <c r="J43" i="62"/>
  <c r="L43" i="62" s="1"/>
  <c r="L42" i="62" s="1"/>
  <c r="V42" i="62"/>
  <c r="T42" i="62"/>
  <c r="S42" i="62"/>
  <c r="R42" i="62"/>
  <c r="Q42" i="62"/>
  <c r="P42" i="62"/>
  <c r="O42" i="62"/>
  <c r="M42" i="62"/>
  <c r="K42" i="62"/>
  <c r="J42" i="62"/>
  <c r="I42" i="62"/>
  <c r="H42" i="62"/>
  <c r="G42" i="62"/>
  <c r="Y41" i="62"/>
  <c r="W41" i="62"/>
  <c r="U41" i="62"/>
  <c r="U50" i="62" s="1"/>
  <c r="R41" i="62"/>
  <c r="Q41" i="62"/>
  <c r="P41" i="62"/>
  <c r="O41" i="62"/>
  <c r="M41" i="62"/>
  <c r="K41" i="62"/>
  <c r="I41" i="62"/>
  <c r="H41" i="62"/>
  <c r="G41" i="62"/>
  <c r="V40" i="62"/>
  <c r="X40" i="62" s="1"/>
  <c r="Z40" i="62" s="1"/>
  <c r="L40" i="62"/>
  <c r="N40" i="62" s="1"/>
  <c r="J40" i="62"/>
  <c r="V39" i="62"/>
  <c r="X39" i="62" s="1"/>
  <c r="Z39" i="62" s="1"/>
  <c r="J39" i="62"/>
  <c r="L39" i="62" s="1"/>
  <c r="N39" i="62" s="1"/>
  <c r="V38" i="62"/>
  <c r="X38" i="62" s="1"/>
  <c r="Z38" i="62" s="1"/>
  <c r="L38" i="62"/>
  <c r="N38" i="62" s="1"/>
  <c r="J38" i="62"/>
  <c r="V37" i="62"/>
  <c r="X37" i="62" s="1"/>
  <c r="Z37" i="62" s="1"/>
  <c r="L37" i="62"/>
  <c r="N37" i="62" s="1"/>
  <c r="X36" i="62"/>
  <c r="Z36" i="62" s="1"/>
  <c r="V36" i="62"/>
  <c r="N36" i="62"/>
  <c r="J36" i="62"/>
  <c r="L36" i="62" s="1"/>
  <c r="X35" i="62"/>
  <c r="Z35" i="62" s="1"/>
  <c r="V35" i="62"/>
  <c r="N35" i="62"/>
  <c r="L35" i="62"/>
  <c r="T34" i="62"/>
  <c r="V34" i="62" s="1"/>
  <c r="X34" i="62" s="1"/>
  <c r="Z34" i="62" s="1"/>
  <c r="S34" i="62"/>
  <c r="S41" i="62" s="1"/>
  <c r="L34" i="62"/>
  <c r="N34" i="62" s="1"/>
  <c r="J34" i="62"/>
  <c r="Z33" i="62"/>
  <c r="V33" i="62"/>
  <c r="X33" i="62" s="1"/>
  <c r="L33" i="62"/>
  <c r="N33" i="62" s="1"/>
  <c r="J33" i="62"/>
  <c r="Z32" i="62"/>
  <c r="V32" i="62"/>
  <c r="X32" i="62" s="1"/>
  <c r="L32" i="62"/>
  <c r="N32" i="62" s="1"/>
  <c r="J32" i="62"/>
  <c r="Z31" i="62"/>
  <c r="V31" i="62"/>
  <c r="X31" i="62" s="1"/>
  <c r="L31" i="62"/>
  <c r="N31" i="62" s="1"/>
  <c r="J31" i="62"/>
  <c r="AC30" i="62"/>
  <c r="V30" i="62"/>
  <c r="X30" i="62" s="1"/>
  <c r="Z30" i="62" s="1"/>
  <c r="J30" i="62"/>
  <c r="L30" i="62" s="1"/>
  <c r="N30" i="62" s="1"/>
  <c r="AC29" i="62"/>
  <c r="V29" i="62"/>
  <c r="X29" i="62" s="1"/>
  <c r="Z29" i="62" s="1"/>
  <c r="J29" i="62"/>
  <c r="L29" i="62" s="1"/>
  <c r="N29" i="62" s="1"/>
  <c r="AC28" i="62"/>
  <c r="X28" i="62"/>
  <c r="Z28" i="62" s="1"/>
  <c r="V28" i="62"/>
  <c r="J28" i="62"/>
  <c r="L28" i="62" s="1"/>
  <c r="L27" i="62"/>
  <c r="T26" i="62"/>
  <c r="P26" i="62"/>
  <c r="O26" i="62"/>
  <c r="K26" i="62"/>
  <c r="V25" i="62"/>
  <c r="X25" i="62" s="1"/>
  <c r="Z25" i="62" s="1"/>
  <c r="J24" i="62"/>
  <c r="L24" i="62" s="1"/>
  <c r="N24" i="62" s="1"/>
  <c r="L23" i="62"/>
  <c r="N23" i="62" s="1"/>
  <c r="J23" i="62"/>
  <c r="V22" i="62"/>
  <c r="X22" i="62" s="1"/>
  <c r="Z22" i="62" s="1"/>
  <c r="K22" i="62"/>
  <c r="I22" i="62"/>
  <c r="I26" i="62" s="1"/>
  <c r="H22" i="62"/>
  <c r="G22" i="62"/>
  <c r="V21" i="62"/>
  <c r="X21" i="62" s="1"/>
  <c r="Z21" i="62" s="1"/>
  <c r="L21" i="62"/>
  <c r="N21" i="62" s="1"/>
  <c r="J21" i="62"/>
  <c r="V20" i="62"/>
  <c r="X20" i="62" s="1"/>
  <c r="Z20" i="62" s="1"/>
  <c r="J20" i="62"/>
  <c r="L20" i="62" s="1"/>
  <c r="N20" i="62" s="1"/>
  <c r="V19" i="62"/>
  <c r="X19" i="62" s="1"/>
  <c r="Z19" i="62" s="1"/>
  <c r="L18" i="62"/>
  <c r="N18" i="62" s="1"/>
  <c r="J18" i="62"/>
  <c r="J17" i="62"/>
  <c r="L17" i="62" s="1"/>
  <c r="N17" i="62" s="1"/>
  <c r="V16" i="62"/>
  <c r="X16" i="62" s="1"/>
  <c r="Z16" i="62" s="1"/>
  <c r="M16" i="62"/>
  <c r="K16" i="62"/>
  <c r="I16" i="62"/>
  <c r="H16" i="62"/>
  <c r="H11" i="62" s="1"/>
  <c r="H26" i="62" s="1"/>
  <c r="G16" i="62"/>
  <c r="G11" i="62" s="1"/>
  <c r="G26" i="62" s="1"/>
  <c r="N15" i="62"/>
  <c r="L15" i="62"/>
  <c r="J14" i="62"/>
  <c r="L14" i="62" s="1"/>
  <c r="N14" i="62" s="1"/>
  <c r="J13" i="62"/>
  <c r="L13" i="62" s="1"/>
  <c r="N13" i="62" s="1"/>
  <c r="V12" i="62"/>
  <c r="M12" i="62"/>
  <c r="M11" i="62" s="1"/>
  <c r="H12" i="62"/>
  <c r="J12" i="62" s="1"/>
  <c r="L12" i="62" s="1"/>
  <c r="G12" i="62"/>
  <c r="Y11" i="62"/>
  <c r="Y26" i="62" s="1"/>
  <c r="W11" i="62"/>
  <c r="W26" i="62" s="1"/>
  <c r="U11" i="62"/>
  <c r="U26" i="62" s="1"/>
  <c r="T11" i="62"/>
  <c r="S11" i="62"/>
  <c r="S26" i="62" s="1"/>
  <c r="R11" i="62"/>
  <c r="R26" i="62" s="1"/>
  <c r="Q11" i="62"/>
  <c r="Q26" i="62" s="1"/>
  <c r="P11" i="62"/>
  <c r="O11" i="62"/>
  <c r="X10" i="62"/>
  <c r="Z10" i="62" s="1"/>
  <c r="V10" i="62"/>
  <c r="V9" i="62"/>
  <c r="J9" i="62"/>
  <c r="L9" i="62" s="1"/>
  <c r="N9" i="62" s="1"/>
  <c r="W8" i="62"/>
  <c r="V8" i="62"/>
  <c r="N8" i="62"/>
  <c r="X7" i="62"/>
  <c r="V7" i="62"/>
  <c r="J7" i="62"/>
  <c r="Y6" i="62"/>
  <c r="W6" i="62"/>
  <c r="U6" i="62"/>
  <c r="T6" i="62"/>
  <c r="S6" i="62"/>
  <c r="R6" i="62"/>
  <c r="Q6" i="62"/>
  <c r="P6" i="62"/>
  <c r="O6" i="62"/>
  <c r="M6" i="62"/>
  <c r="K6" i="62"/>
  <c r="I6" i="62"/>
  <c r="H6" i="62"/>
  <c r="G6" i="62"/>
  <c r="K162" i="61"/>
  <c r="X161" i="61"/>
  <c r="X162" i="61" s="1"/>
  <c r="V161" i="61"/>
  <c r="V162" i="61" s="1"/>
  <c r="T161" i="61"/>
  <c r="T162" i="61" s="1"/>
  <c r="S161" i="61"/>
  <c r="S162" i="61" s="1"/>
  <c r="R161" i="61"/>
  <c r="R162" i="61" s="1"/>
  <c r="Q161" i="61"/>
  <c r="Q162" i="61" s="1"/>
  <c r="P161" i="61"/>
  <c r="P162" i="61" s="1"/>
  <c r="O161" i="61"/>
  <c r="O162" i="61" s="1"/>
  <c r="G161" i="61"/>
  <c r="G162" i="61" s="1"/>
  <c r="F161" i="61"/>
  <c r="F162" i="61" s="1"/>
  <c r="E161" i="61"/>
  <c r="E162" i="61" s="1"/>
  <c r="X160" i="61"/>
  <c r="X157" i="61" s="1"/>
  <c r="V160" i="61"/>
  <c r="T160" i="61"/>
  <c r="S160" i="61"/>
  <c r="U160" i="61" s="1"/>
  <c r="W160" i="61" s="1"/>
  <c r="Y160" i="61" s="1"/>
  <c r="R160" i="61"/>
  <c r="Q160" i="61"/>
  <c r="P160" i="61"/>
  <c r="O160" i="61"/>
  <c r="N160" i="61"/>
  <c r="G160" i="61"/>
  <c r="X159" i="61"/>
  <c r="V159" i="61"/>
  <c r="T159" i="61"/>
  <c r="S159" i="61"/>
  <c r="R159" i="61"/>
  <c r="Q159" i="61"/>
  <c r="P159" i="61"/>
  <c r="O159" i="61"/>
  <c r="X158" i="61"/>
  <c r="V158" i="61"/>
  <c r="T158" i="61"/>
  <c r="T157" i="61" s="1"/>
  <c r="S158" i="61"/>
  <c r="U158" i="61" s="1"/>
  <c r="R158" i="61"/>
  <c r="Q158" i="61"/>
  <c r="P158" i="61"/>
  <c r="P157" i="61" s="1"/>
  <c r="O158" i="61"/>
  <c r="G158" i="61"/>
  <c r="E158" i="61"/>
  <c r="N157" i="61"/>
  <c r="J157" i="61"/>
  <c r="E157" i="61"/>
  <c r="X156" i="61"/>
  <c r="V156" i="61"/>
  <c r="T156" i="61"/>
  <c r="S156" i="61"/>
  <c r="U156" i="61" s="1"/>
  <c r="W156" i="61" s="1"/>
  <c r="Y156" i="61" s="1"/>
  <c r="R156" i="61"/>
  <c r="Q156" i="61"/>
  <c r="P156" i="61"/>
  <c r="O156" i="61"/>
  <c r="N156" i="61"/>
  <c r="M156" i="61"/>
  <c r="E156" i="61"/>
  <c r="G155" i="61"/>
  <c r="E155" i="61"/>
  <c r="X154" i="61"/>
  <c r="V154" i="61"/>
  <c r="T154" i="61"/>
  <c r="S154" i="61"/>
  <c r="Q154" i="61"/>
  <c r="P154" i="61"/>
  <c r="O154" i="61"/>
  <c r="N154" i="61"/>
  <c r="J154" i="61"/>
  <c r="G154" i="61"/>
  <c r="E154" i="61"/>
  <c r="N153" i="61"/>
  <c r="G153" i="61"/>
  <c r="F153" i="61"/>
  <c r="X152" i="61"/>
  <c r="V152" i="61"/>
  <c r="T152" i="61"/>
  <c r="S152" i="61"/>
  <c r="R152" i="61"/>
  <c r="Q152" i="61"/>
  <c r="P152" i="61"/>
  <c r="O152" i="61"/>
  <c r="N152" i="61"/>
  <c r="G152" i="61"/>
  <c r="F152" i="61"/>
  <c r="E152" i="61"/>
  <c r="X151" i="61"/>
  <c r="V151" i="61"/>
  <c r="T151" i="61"/>
  <c r="S151" i="61"/>
  <c r="R151" i="61"/>
  <c r="Q151" i="61"/>
  <c r="P151" i="61"/>
  <c r="O151" i="61"/>
  <c r="N151" i="61"/>
  <c r="G151" i="61"/>
  <c r="F151" i="61"/>
  <c r="E151" i="61"/>
  <c r="X149" i="61"/>
  <c r="V149" i="61"/>
  <c r="T149" i="61"/>
  <c r="S149" i="61"/>
  <c r="R149" i="61"/>
  <c r="Q149" i="61"/>
  <c r="P149" i="61"/>
  <c r="O149" i="61"/>
  <c r="N149" i="61"/>
  <c r="L149" i="61"/>
  <c r="G149" i="61"/>
  <c r="F149" i="61"/>
  <c r="E149" i="61"/>
  <c r="X148" i="61"/>
  <c r="V148" i="61"/>
  <c r="T148" i="61"/>
  <c r="S148" i="61"/>
  <c r="U148" i="61" s="1"/>
  <c r="W148" i="61" s="1"/>
  <c r="Y148" i="61" s="1"/>
  <c r="R148" i="61"/>
  <c r="Q148" i="61"/>
  <c r="P148" i="61"/>
  <c r="O148" i="61"/>
  <c r="N148" i="61"/>
  <c r="G148" i="61"/>
  <c r="F148" i="61"/>
  <c r="E148" i="61"/>
  <c r="X147" i="61"/>
  <c r="V147" i="61"/>
  <c r="T147" i="61"/>
  <c r="S147" i="61"/>
  <c r="R147" i="61"/>
  <c r="Q147" i="61"/>
  <c r="P147" i="61"/>
  <c r="O147" i="61"/>
  <c r="N147" i="61"/>
  <c r="G147" i="61"/>
  <c r="F147" i="61"/>
  <c r="F144" i="61" s="1"/>
  <c r="F139" i="61" s="1"/>
  <c r="E147" i="61"/>
  <c r="X146" i="61"/>
  <c r="V146" i="61"/>
  <c r="T146" i="61"/>
  <c r="S146" i="61"/>
  <c r="R146" i="61"/>
  <c r="Q146" i="61"/>
  <c r="P146" i="61"/>
  <c r="O146" i="61"/>
  <c r="J146" i="61"/>
  <c r="G146" i="61"/>
  <c r="E146" i="61"/>
  <c r="X145" i="61"/>
  <c r="V145" i="61"/>
  <c r="T145" i="61"/>
  <c r="S145" i="61"/>
  <c r="R145" i="61"/>
  <c r="P145" i="61"/>
  <c r="O145" i="61"/>
  <c r="J145" i="61"/>
  <c r="G145" i="61"/>
  <c r="E145" i="61"/>
  <c r="X143" i="61"/>
  <c r="V143" i="61"/>
  <c r="T143" i="61"/>
  <c r="S143" i="61"/>
  <c r="U143" i="61" s="1"/>
  <c r="W143" i="61" s="1"/>
  <c r="Y143" i="61" s="1"/>
  <c r="R143" i="61"/>
  <c r="Q143" i="61"/>
  <c r="P143" i="61"/>
  <c r="O143" i="61"/>
  <c r="N143" i="61"/>
  <c r="J143" i="61"/>
  <c r="G143" i="61"/>
  <c r="F143" i="61"/>
  <c r="E143" i="61"/>
  <c r="X142" i="61"/>
  <c r="V142" i="61"/>
  <c r="T142" i="61"/>
  <c r="U142" i="61" s="1"/>
  <c r="W142" i="61" s="1"/>
  <c r="S142" i="61"/>
  <c r="R142" i="61"/>
  <c r="Q142" i="61"/>
  <c r="P142" i="61"/>
  <c r="O142" i="61"/>
  <c r="N142" i="61"/>
  <c r="H142" i="61"/>
  <c r="I142" i="61" s="1"/>
  <c r="F142" i="61"/>
  <c r="E142" i="61"/>
  <c r="X141" i="61"/>
  <c r="V141" i="61"/>
  <c r="T141" i="61"/>
  <c r="S141" i="61"/>
  <c r="R141" i="61"/>
  <c r="Q141" i="61"/>
  <c r="P141" i="61"/>
  <c r="O141" i="61"/>
  <c r="N141" i="61"/>
  <c r="H141" i="61"/>
  <c r="I141" i="61" s="1"/>
  <c r="E141" i="61"/>
  <c r="X140" i="61"/>
  <c r="V140" i="61"/>
  <c r="T140" i="61"/>
  <c r="S140" i="61"/>
  <c r="R140" i="61"/>
  <c r="Q140" i="61"/>
  <c r="P140" i="61"/>
  <c r="O140" i="61"/>
  <c r="N140" i="61"/>
  <c r="H140" i="61"/>
  <c r="G140" i="61"/>
  <c r="E140" i="61"/>
  <c r="W136" i="61"/>
  <c r="R136" i="61"/>
  <c r="Q136" i="61"/>
  <c r="P136" i="61"/>
  <c r="O136" i="61"/>
  <c r="N136" i="61"/>
  <c r="U134" i="61"/>
  <c r="W134" i="61" s="1"/>
  <c r="Y134" i="61" s="1"/>
  <c r="H134" i="61"/>
  <c r="I134" i="61" s="1"/>
  <c r="U133" i="61"/>
  <c r="H133" i="61"/>
  <c r="I133" i="61" s="1"/>
  <c r="U132" i="61"/>
  <c r="W132" i="61" s="1"/>
  <c r="H132" i="61"/>
  <c r="X131" i="61"/>
  <c r="V131" i="61"/>
  <c r="T131" i="61"/>
  <c r="S131" i="61"/>
  <c r="R131" i="61"/>
  <c r="Q131" i="61"/>
  <c r="P131" i="61"/>
  <c r="O131" i="61"/>
  <c r="G131" i="61"/>
  <c r="E131" i="61"/>
  <c r="U130" i="61"/>
  <c r="W130" i="61" s="1"/>
  <c r="Y130" i="61" s="1"/>
  <c r="H130" i="61"/>
  <c r="U129" i="61"/>
  <c r="W129" i="61" s="1"/>
  <c r="Y129" i="61" s="1"/>
  <c r="H129" i="61"/>
  <c r="I129" i="61" s="1"/>
  <c r="U128" i="61"/>
  <c r="W128" i="61" s="1"/>
  <c r="H128" i="61"/>
  <c r="I128" i="61" s="1"/>
  <c r="X127" i="61"/>
  <c r="X124" i="61" s="1"/>
  <c r="V127" i="61"/>
  <c r="V124" i="61" s="1"/>
  <c r="T127" i="61"/>
  <c r="T124" i="61" s="1"/>
  <c r="S127" i="61"/>
  <c r="R127" i="61"/>
  <c r="R124" i="61" s="1"/>
  <c r="Q127" i="61"/>
  <c r="Q124" i="61" s="1"/>
  <c r="P127" i="61"/>
  <c r="P124" i="61" s="1"/>
  <c r="O127" i="61"/>
  <c r="E127" i="61"/>
  <c r="U126" i="61"/>
  <c r="W126" i="61" s="1"/>
  <c r="Y126" i="61" s="1"/>
  <c r="H126" i="61"/>
  <c r="U125" i="61"/>
  <c r="W125" i="61" s="1"/>
  <c r="Y125" i="61" s="1"/>
  <c r="J125" i="61"/>
  <c r="I125" i="61"/>
  <c r="S124" i="61"/>
  <c r="O124" i="61"/>
  <c r="G124" i="61"/>
  <c r="I124" i="61" s="1"/>
  <c r="F124" i="61"/>
  <c r="U123" i="61"/>
  <c r="W123" i="61" s="1"/>
  <c r="Y123" i="61" s="1"/>
  <c r="H123" i="61"/>
  <c r="U122" i="61"/>
  <c r="W122" i="61" s="1"/>
  <c r="Y122" i="61" s="1"/>
  <c r="H122" i="61"/>
  <c r="U121" i="61"/>
  <c r="W121" i="61" s="1"/>
  <c r="Y121" i="61" s="1"/>
  <c r="H121" i="61"/>
  <c r="U120" i="61"/>
  <c r="H120" i="61"/>
  <c r="U119" i="61"/>
  <c r="W119" i="61" s="1"/>
  <c r="Y119" i="61" s="1"/>
  <c r="H119" i="61"/>
  <c r="X118" i="61"/>
  <c r="X113" i="61" s="1"/>
  <c r="V118" i="61"/>
  <c r="V113" i="61" s="1"/>
  <c r="T118" i="61"/>
  <c r="T113" i="61" s="1"/>
  <c r="S118" i="61"/>
  <c r="S113" i="61" s="1"/>
  <c r="R118" i="61"/>
  <c r="R113" i="61" s="1"/>
  <c r="Q118" i="61"/>
  <c r="Q113" i="61" s="1"/>
  <c r="P118" i="61"/>
  <c r="O118" i="61"/>
  <c r="O113" i="61" s="1"/>
  <c r="E118" i="61"/>
  <c r="U117" i="61"/>
  <c r="W117" i="61" s="1"/>
  <c r="Y117" i="61" s="1"/>
  <c r="H117" i="61"/>
  <c r="I117" i="61" s="1"/>
  <c r="U116" i="61"/>
  <c r="W116" i="61" s="1"/>
  <c r="Y116" i="61" s="1"/>
  <c r="J116" i="61"/>
  <c r="I116" i="61"/>
  <c r="U115" i="61"/>
  <c r="W115" i="61" s="1"/>
  <c r="Y115" i="61" s="1"/>
  <c r="J115" i="61"/>
  <c r="I115" i="61"/>
  <c r="U114" i="61"/>
  <c r="J114" i="61"/>
  <c r="I114" i="61"/>
  <c r="P113" i="61"/>
  <c r="N113" i="61"/>
  <c r="N135" i="61" s="1"/>
  <c r="G113" i="61"/>
  <c r="F113" i="61"/>
  <c r="E113" i="61"/>
  <c r="W110" i="61"/>
  <c r="R110" i="61"/>
  <c r="Q110" i="61"/>
  <c r="P110" i="61"/>
  <c r="O110" i="61"/>
  <c r="N110" i="61"/>
  <c r="U108" i="61"/>
  <c r="W108" i="61" s="1"/>
  <c r="Y108" i="61" s="1"/>
  <c r="H108" i="61"/>
  <c r="I108" i="61" s="1"/>
  <c r="K108" i="61" s="1"/>
  <c r="U107" i="61"/>
  <c r="W107" i="61" s="1"/>
  <c r="Y107" i="61" s="1"/>
  <c r="H107" i="61"/>
  <c r="I107" i="61" s="1"/>
  <c r="K107" i="61" s="1"/>
  <c r="U106" i="61"/>
  <c r="H106" i="61"/>
  <c r="I106" i="61" s="1"/>
  <c r="K106" i="61" s="1"/>
  <c r="X105" i="61"/>
  <c r="V105" i="61"/>
  <c r="T105" i="61"/>
  <c r="S105" i="61"/>
  <c r="R105" i="61"/>
  <c r="Q105" i="61"/>
  <c r="P105" i="61"/>
  <c r="O105" i="61"/>
  <c r="E105" i="61"/>
  <c r="U104" i="61"/>
  <c r="W104" i="61" s="1"/>
  <c r="Y104" i="61" s="1"/>
  <c r="H104" i="61"/>
  <c r="I104" i="61" s="1"/>
  <c r="K104" i="61" s="1"/>
  <c r="U103" i="61"/>
  <c r="W103" i="61" s="1"/>
  <c r="Y103" i="61" s="1"/>
  <c r="Y101" i="61" s="1"/>
  <c r="H103" i="61"/>
  <c r="I103" i="61" s="1"/>
  <c r="K103" i="61" s="1"/>
  <c r="U102" i="61"/>
  <c r="W102" i="61" s="1"/>
  <c r="Y102" i="61" s="1"/>
  <c r="H102" i="61"/>
  <c r="X101" i="61"/>
  <c r="X98" i="61" s="1"/>
  <c r="V101" i="61"/>
  <c r="T101" i="61"/>
  <c r="S101" i="61"/>
  <c r="S98" i="61" s="1"/>
  <c r="R101" i="61"/>
  <c r="Q101" i="61"/>
  <c r="Q98" i="61" s="1"/>
  <c r="P101" i="61"/>
  <c r="O101" i="61"/>
  <c r="O98" i="61" s="1"/>
  <c r="O109" i="61" s="1"/>
  <c r="E101" i="61"/>
  <c r="U100" i="61"/>
  <c r="H100" i="61"/>
  <c r="I100" i="61" s="1"/>
  <c r="K100" i="61" s="1"/>
  <c r="U99" i="61"/>
  <c r="W99" i="61" s="1"/>
  <c r="I99" i="61"/>
  <c r="K99" i="61" s="1"/>
  <c r="V98" i="61"/>
  <c r="T98" i="61"/>
  <c r="R98" i="61"/>
  <c r="P98" i="61"/>
  <c r="N98" i="61"/>
  <c r="G98" i="61"/>
  <c r="F98" i="61"/>
  <c r="E98" i="61"/>
  <c r="Y97" i="61"/>
  <c r="U97" i="61"/>
  <c r="W97" i="61" s="1"/>
  <c r="I97" i="61"/>
  <c r="K97" i="61" s="1"/>
  <c r="H97" i="61"/>
  <c r="W96" i="61"/>
  <c r="Y96" i="61" s="1"/>
  <c r="U96" i="61"/>
  <c r="H96" i="61"/>
  <c r="I96" i="61" s="1"/>
  <c r="K96" i="61" s="1"/>
  <c r="U95" i="61"/>
  <c r="W95" i="61" s="1"/>
  <c r="Y95" i="61" s="1"/>
  <c r="I95" i="61"/>
  <c r="K95" i="61" s="1"/>
  <c r="H95" i="61"/>
  <c r="W94" i="61"/>
  <c r="Y94" i="61" s="1"/>
  <c r="U94" i="61"/>
  <c r="K94" i="61"/>
  <c r="H94" i="61"/>
  <c r="I94" i="61" s="1"/>
  <c r="U93" i="61"/>
  <c r="H93" i="61"/>
  <c r="I93" i="61" s="1"/>
  <c r="K93" i="61" s="1"/>
  <c r="X92" i="61"/>
  <c r="X87" i="61" s="1"/>
  <c r="V92" i="61"/>
  <c r="V87" i="61" s="1"/>
  <c r="T92" i="61"/>
  <c r="T87" i="61" s="1"/>
  <c r="S92" i="61"/>
  <c r="S87" i="61" s="1"/>
  <c r="R92" i="61"/>
  <c r="R87" i="61" s="1"/>
  <c r="Q92" i="61"/>
  <c r="Q87" i="61" s="1"/>
  <c r="P92" i="61"/>
  <c r="O92" i="61"/>
  <c r="O87" i="61" s="1"/>
  <c r="E92" i="61"/>
  <c r="E87" i="61" s="1"/>
  <c r="E109" i="61" s="1"/>
  <c r="U91" i="61"/>
  <c r="W91" i="61" s="1"/>
  <c r="Y91" i="61" s="1"/>
  <c r="H91" i="61"/>
  <c r="I91" i="61" s="1"/>
  <c r="K91" i="61" s="1"/>
  <c r="U90" i="61"/>
  <c r="W90" i="61" s="1"/>
  <c r="Y90" i="61" s="1"/>
  <c r="I90" i="61"/>
  <c r="K90" i="61" s="1"/>
  <c r="M90" i="61" s="1"/>
  <c r="U89" i="61"/>
  <c r="I89" i="61"/>
  <c r="K89" i="61" s="1"/>
  <c r="M89" i="61" s="1"/>
  <c r="U88" i="61"/>
  <c r="W88" i="61" s="1"/>
  <c r="Y88" i="61" s="1"/>
  <c r="I88" i="61"/>
  <c r="K88" i="61" s="1"/>
  <c r="M88" i="61" s="1"/>
  <c r="P87" i="61"/>
  <c r="N87" i="61"/>
  <c r="L87" i="61"/>
  <c r="L109" i="61" s="1"/>
  <c r="J87" i="61"/>
  <c r="G87" i="61"/>
  <c r="G109" i="61" s="1"/>
  <c r="F87" i="61"/>
  <c r="W84" i="61"/>
  <c r="R84" i="61"/>
  <c r="Q84" i="61"/>
  <c r="P84" i="61"/>
  <c r="O84" i="61"/>
  <c r="N84" i="61"/>
  <c r="L83" i="61"/>
  <c r="U82" i="61"/>
  <c r="I82" i="61"/>
  <c r="H82" i="61"/>
  <c r="U81" i="61"/>
  <c r="W81" i="61" s="1"/>
  <c r="Y81" i="61" s="1"/>
  <c r="H81" i="61"/>
  <c r="W80" i="61"/>
  <c r="U80" i="61"/>
  <c r="I80" i="61"/>
  <c r="H80" i="61"/>
  <c r="X79" i="61"/>
  <c r="V79" i="61"/>
  <c r="T79" i="61"/>
  <c r="S79" i="61"/>
  <c r="R79" i="61"/>
  <c r="Q79" i="61"/>
  <c r="P79" i="61"/>
  <c r="O79" i="61"/>
  <c r="E79" i="61"/>
  <c r="U78" i="61"/>
  <c r="W78" i="61" s="1"/>
  <c r="Y78" i="61" s="1"/>
  <c r="H78" i="61"/>
  <c r="I78" i="61" s="1"/>
  <c r="U77" i="61"/>
  <c r="W77" i="61" s="1"/>
  <c r="Y77" i="61" s="1"/>
  <c r="H77" i="61"/>
  <c r="I77" i="61" s="1"/>
  <c r="U76" i="61"/>
  <c r="W76" i="61" s="1"/>
  <c r="Y76" i="61" s="1"/>
  <c r="H76" i="61"/>
  <c r="X75" i="61"/>
  <c r="V75" i="61"/>
  <c r="V72" i="61" s="1"/>
  <c r="T75" i="61"/>
  <c r="T72" i="61" s="1"/>
  <c r="S75" i="61"/>
  <c r="S72" i="61" s="1"/>
  <c r="R75" i="61"/>
  <c r="R72" i="61" s="1"/>
  <c r="Q75" i="61"/>
  <c r="P75" i="61"/>
  <c r="P72" i="61" s="1"/>
  <c r="O75" i="61"/>
  <c r="O72" i="61" s="1"/>
  <c r="U74" i="61"/>
  <c r="W74" i="61" s="1"/>
  <c r="H74" i="61"/>
  <c r="I74" i="61" s="1"/>
  <c r="Y73" i="61"/>
  <c r="U73" i="61"/>
  <c r="W73" i="61" s="1"/>
  <c r="I73" i="61"/>
  <c r="H73" i="61"/>
  <c r="H151" i="61" s="1"/>
  <c r="I151" i="61" s="1"/>
  <c r="X72" i="61"/>
  <c r="Q72" i="61"/>
  <c r="G72" i="61"/>
  <c r="F72" i="61"/>
  <c r="E72" i="61"/>
  <c r="U71" i="61"/>
  <c r="W71" i="61" s="1"/>
  <c r="Y71" i="61" s="1"/>
  <c r="H71" i="61"/>
  <c r="I71" i="61" s="1"/>
  <c r="U70" i="61"/>
  <c r="W70" i="61" s="1"/>
  <c r="Y70" i="61" s="1"/>
  <c r="H70" i="61"/>
  <c r="I70" i="61" s="1"/>
  <c r="U69" i="61"/>
  <c r="W69" i="61" s="1"/>
  <c r="Y69" i="61" s="1"/>
  <c r="H69" i="61"/>
  <c r="I69" i="61" s="1"/>
  <c r="U68" i="61"/>
  <c r="H68" i="61"/>
  <c r="I68" i="61" s="1"/>
  <c r="U67" i="61"/>
  <c r="W67" i="61" s="1"/>
  <c r="Y67" i="61" s="1"/>
  <c r="H67" i="61"/>
  <c r="X66" i="61"/>
  <c r="X61" i="61" s="1"/>
  <c r="V66" i="61"/>
  <c r="V61" i="61" s="1"/>
  <c r="T66" i="61"/>
  <c r="T61" i="61" s="1"/>
  <c r="S66" i="61"/>
  <c r="S61" i="61" s="1"/>
  <c r="R66" i="61"/>
  <c r="R61" i="61" s="1"/>
  <c r="Q66" i="61"/>
  <c r="P66" i="61"/>
  <c r="P61" i="61" s="1"/>
  <c r="O66" i="61"/>
  <c r="O61" i="61" s="1"/>
  <c r="E66" i="61"/>
  <c r="E61" i="61" s="1"/>
  <c r="U65" i="61"/>
  <c r="W65" i="61" s="1"/>
  <c r="Y65" i="61" s="1"/>
  <c r="H65" i="61"/>
  <c r="I65" i="61" s="1"/>
  <c r="U64" i="61"/>
  <c r="W64" i="61" s="1"/>
  <c r="Y64" i="61" s="1"/>
  <c r="I64" i="61"/>
  <c r="K64" i="61" s="1"/>
  <c r="U63" i="61"/>
  <c r="I63" i="61"/>
  <c r="K63" i="61" s="1"/>
  <c r="M63" i="61" s="1"/>
  <c r="U62" i="61"/>
  <c r="W62" i="61" s="1"/>
  <c r="Y62" i="61" s="1"/>
  <c r="I62" i="61"/>
  <c r="K62" i="61" s="1"/>
  <c r="M62" i="61" s="1"/>
  <c r="Q61" i="61"/>
  <c r="N61" i="61"/>
  <c r="L61" i="61"/>
  <c r="J61" i="61"/>
  <c r="J83" i="61" s="1"/>
  <c r="H61" i="61"/>
  <c r="G61" i="61"/>
  <c r="F61" i="61"/>
  <c r="W58" i="61"/>
  <c r="U58" i="61"/>
  <c r="U84" i="61" s="1"/>
  <c r="U110" i="61" s="1"/>
  <c r="U136" i="61" s="1"/>
  <c r="R58" i="61"/>
  <c r="Q58" i="61"/>
  <c r="P58" i="61"/>
  <c r="O58" i="61"/>
  <c r="N58" i="61"/>
  <c r="U56" i="61"/>
  <c r="W56" i="61" s="1"/>
  <c r="Y56" i="61" s="1"/>
  <c r="H56" i="61"/>
  <c r="I56" i="61" s="1"/>
  <c r="J56" i="61" s="1"/>
  <c r="U55" i="61"/>
  <c r="H55" i="61"/>
  <c r="I55" i="61" s="1"/>
  <c r="J55" i="61" s="1"/>
  <c r="U54" i="61"/>
  <c r="W54" i="61" s="1"/>
  <c r="Y54" i="61" s="1"/>
  <c r="H54" i="61"/>
  <c r="I54" i="61" s="1"/>
  <c r="J54" i="61" s="1"/>
  <c r="X53" i="61"/>
  <c r="V53" i="61"/>
  <c r="T53" i="61"/>
  <c r="S53" i="61"/>
  <c r="R53" i="61"/>
  <c r="Q53" i="61"/>
  <c r="P53" i="61"/>
  <c r="O53" i="61"/>
  <c r="E53" i="61"/>
  <c r="U52" i="61"/>
  <c r="W52" i="61" s="1"/>
  <c r="Y52" i="61" s="1"/>
  <c r="H52" i="61"/>
  <c r="I52" i="61" s="1"/>
  <c r="J52" i="61" s="1"/>
  <c r="U51" i="61"/>
  <c r="H51" i="61"/>
  <c r="I51" i="61" s="1"/>
  <c r="J51" i="61" s="1"/>
  <c r="U50" i="61"/>
  <c r="W50" i="61" s="1"/>
  <c r="Y50" i="61" s="1"/>
  <c r="H50" i="61"/>
  <c r="I50" i="61" s="1"/>
  <c r="J50" i="61" s="1"/>
  <c r="X49" i="61"/>
  <c r="X46" i="61" s="1"/>
  <c r="V49" i="61"/>
  <c r="V46" i="61" s="1"/>
  <c r="T49" i="61"/>
  <c r="T46" i="61" s="1"/>
  <c r="S49" i="61"/>
  <c r="S46" i="61" s="1"/>
  <c r="R49" i="61"/>
  <c r="R46" i="61" s="1"/>
  <c r="Q49" i="61"/>
  <c r="P49" i="61"/>
  <c r="P46" i="61" s="1"/>
  <c r="O49" i="61"/>
  <c r="O46" i="61" s="1"/>
  <c r="E49" i="61"/>
  <c r="W48" i="61"/>
  <c r="Y48" i="61" s="1"/>
  <c r="U48" i="61"/>
  <c r="J48" i="61"/>
  <c r="H48" i="61"/>
  <c r="U47" i="61"/>
  <c r="Q46" i="61"/>
  <c r="N46" i="61"/>
  <c r="L46" i="61"/>
  <c r="J46" i="61"/>
  <c r="G46" i="61"/>
  <c r="F46" i="61"/>
  <c r="E46" i="61"/>
  <c r="U45" i="61"/>
  <c r="W45" i="61" s="1"/>
  <c r="Y45" i="61" s="1"/>
  <c r="H45" i="61"/>
  <c r="I45" i="61" s="1"/>
  <c r="J45" i="61" s="1"/>
  <c r="U44" i="61"/>
  <c r="W44" i="61" s="1"/>
  <c r="Y44" i="61" s="1"/>
  <c r="H44" i="61"/>
  <c r="I44" i="61" s="1"/>
  <c r="J44" i="61" s="1"/>
  <c r="U43" i="61"/>
  <c r="W43" i="61" s="1"/>
  <c r="Y43" i="61" s="1"/>
  <c r="H43" i="61"/>
  <c r="I43" i="61" s="1"/>
  <c r="J43" i="61" s="1"/>
  <c r="W42" i="61"/>
  <c r="Y42" i="61" s="1"/>
  <c r="U42" i="61"/>
  <c r="I42" i="61"/>
  <c r="J42" i="61" s="1"/>
  <c r="H42" i="61"/>
  <c r="U41" i="61"/>
  <c r="H41" i="61"/>
  <c r="I41" i="61" s="1"/>
  <c r="J41" i="61" s="1"/>
  <c r="X40" i="61"/>
  <c r="X35" i="61" s="1"/>
  <c r="V40" i="61"/>
  <c r="V35" i="61" s="1"/>
  <c r="T40" i="61"/>
  <c r="S40" i="61"/>
  <c r="S35" i="61" s="1"/>
  <c r="R40" i="61"/>
  <c r="R35" i="61" s="1"/>
  <c r="Q40" i="61"/>
  <c r="P40" i="61"/>
  <c r="P35" i="61" s="1"/>
  <c r="O40" i="61"/>
  <c r="O35" i="61" s="1"/>
  <c r="E40" i="61"/>
  <c r="E35" i="61" s="1"/>
  <c r="E57" i="61" s="1"/>
  <c r="U39" i="61"/>
  <c r="J39" i="61"/>
  <c r="I39" i="61"/>
  <c r="U38" i="61"/>
  <c r="W38" i="61" s="1"/>
  <c r="Y38" i="61" s="1"/>
  <c r="L38" i="61"/>
  <c r="K38" i="61"/>
  <c r="M38" i="61" s="1"/>
  <c r="I38" i="61"/>
  <c r="U37" i="61"/>
  <c r="W37" i="61" s="1"/>
  <c r="Y37" i="61" s="1"/>
  <c r="M37" i="61"/>
  <c r="I37" i="61"/>
  <c r="U36" i="61"/>
  <c r="W36" i="61" s="1"/>
  <c r="Y36" i="61" s="1"/>
  <c r="M36" i="61"/>
  <c r="I36" i="61"/>
  <c r="T35" i="61"/>
  <c r="Q35" i="61"/>
  <c r="N35" i="61"/>
  <c r="L35" i="61"/>
  <c r="J35" i="61"/>
  <c r="G35" i="61"/>
  <c r="F35" i="61"/>
  <c r="F57" i="61" s="1"/>
  <c r="W32" i="61"/>
  <c r="U32" i="61"/>
  <c r="R32" i="61"/>
  <c r="Q32" i="61"/>
  <c r="P32" i="61"/>
  <c r="N32" i="61"/>
  <c r="U30" i="61"/>
  <c r="W30" i="61" s="1"/>
  <c r="Y30" i="61" s="1"/>
  <c r="L30" i="61"/>
  <c r="I30" i="61"/>
  <c r="K30" i="61" s="1"/>
  <c r="U29" i="61"/>
  <c r="W29" i="61" s="1"/>
  <c r="Y29" i="61" s="1"/>
  <c r="M29" i="61"/>
  <c r="H29" i="61"/>
  <c r="H160" i="61" s="1"/>
  <c r="U28" i="61"/>
  <c r="W28" i="61" s="1"/>
  <c r="Y28" i="61" s="1"/>
  <c r="M28" i="61"/>
  <c r="H28" i="61"/>
  <c r="H159" i="61" s="1"/>
  <c r="I159" i="61" s="1"/>
  <c r="Y27" i="61"/>
  <c r="U27" i="61"/>
  <c r="W27" i="61" s="1"/>
  <c r="M27" i="61"/>
  <c r="H27" i="61"/>
  <c r="I27" i="61" s="1"/>
  <c r="X26" i="61"/>
  <c r="V26" i="61"/>
  <c r="U26" i="61"/>
  <c r="T26" i="61"/>
  <c r="S26" i="61"/>
  <c r="R26" i="61"/>
  <c r="Q26" i="61"/>
  <c r="Q31" i="61" s="1"/>
  <c r="P26" i="61"/>
  <c r="O26" i="61"/>
  <c r="N26" i="61"/>
  <c r="G26" i="61"/>
  <c r="F26" i="61"/>
  <c r="E26" i="61"/>
  <c r="U25" i="61"/>
  <c r="W25" i="61" s="1"/>
  <c r="Y25" i="61" s="1"/>
  <c r="M25" i="61"/>
  <c r="I25" i="61"/>
  <c r="J25" i="61" s="1"/>
  <c r="U24" i="61"/>
  <c r="W24" i="61" s="1"/>
  <c r="Y24" i="61" s="1"/>
  <c r="M24" i="61"/>
  <c r="H24" i="61"/>
  <c r="I24" i="61" s="1"/>
  <c r="U23" i="61"/>
  <c r="W23" i="61" s="1"/>
  <c r="Y23" i="61" s="1"/>
  <c r="R23" i="61"/>
  <c r="R154" i="61" s="1"/>
  <c r="I23" i="61"/>
  <c r="K23" i="61" s="1"/>
  <c r="M23" i="61" s="1"/>
  <c r="X22" i="61"/>
  <c r="X19" i="61" s="1"/>
  <c r="V22" i="61"/>
  <c r="V19" i="61" s="1"/>
  <c r="T22" i="61"/>
  <c r="T19" i="61" s="1"/>
  <c r="S22" i="61"/>
  <c r="S19" i="61" s="1"/>
  <c r="R22" i="61"/>
  <c r="R19" i="61" s="1"/>
  <c r="Q22" i="61"/>
  <c r="Q19" i="61" s="1"/>
  <c r="P22" i="61"/>
  <c r="O22" i="61"/>
  <c r="O19" i="61" s="1"/>
  <c r="I22" i="61"/>
  <c r="U21" i="61"/>
  <c r="W21" i="61" s="1"/>
  <c r="Y21" i="61" s="1"/>
  <c r="L21" i="61"/>
  <c r="L152" i="61" s="1"/>
  <c r="J21" i="61"/>
  <c r="J19" i="61" s="1"/>
  <c r="I21" i="61"/>
  <c r="U20" i="61"/>
  <c r="W20" i="61" s="1"/>
  <c r="L20" i="61"/>
  <c r="J20" i="61"/>
  <c r="I20" i="61"/>
  <c r="P19" i="61"/>
  <c r="N19" i="61"/>
  <c r="H19" i="61"/>
  <c r="G19" i="61"/>
  <c r="F19" i="61"/>
  <c r="E19" i="61"/>
  <c r="U18" i="61"/>
  <c r="W18" i="61" s="1"/>
  <c r="Y18" i="61" s="1"/>
  <c r="M18" i="61"/>
  <c r="I18" i="61"/>
  <c r="J18" i="61" s="1"/>
  <c r="J149" i="61" s="1"/>
  <c r="U17" i="61"/>
  <c r="W17" i="61" s="1"/>
  <c r="Y17" i="61" s="1"/>
  <c r="L17" i="61"/>
  <c r="L148" i="61" s="1"/>
  <c r="J17" i="61"/>
  <c r="I17" i="61"/>
  <c r="U16" i="61"/>
  <c r="W16" i="61" s="1"/>
  <c r="Y16" i="61" s="1"/>
  <c r="L16" i="61"/>
  <c r="L147" i="61" s="1"/>
  <c r="J16" i="61"/>
  <c r="J147" i="61" s="1"/>
  <c r="I16" i="61"/>
  <c r="U15" i="61"/>
  <c r="W15" i="61" s="1"/>
  <c r="Y15" i="61" s="1"/>
  <c r="I15" i="61"/>
  <c r="K15" i="61" s="1"/>
  <c r="U14" i="61"/>
  <c r="W14" i="61" s="1"/>
  <c r="Q14" i="61"/>
  <c r="Q145" i="61" s="1"/>
  <c r="K14" i="61"/>
  <c r="A14" i="6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57" i="61" s="1"/>
  <c r="A58" i="61" s="1"/>
  <c r="A59" i="61" s="1"/>
  <c r="A60" i="61" s="1"/>
  <c r="A61" i="61" s="1"/>
  <c r="A62" i="61" s="1"/>
  <c r="A63" i="61" s="1"/>
  <c r="A64" i="61" s="1"/>
  <c r="A65" i="61" s="1"/>
  <c r="A66" i="61" s="1"/>
  <c r="A67" i="61" s="1"/>
  <c r="A68" i="61" s="1"/>
  <c r="A69" i="61" s="1"/>
  <c r="A70" i="61" s="1"/>
  <c r="A71" i="61" s="1"/>
  <c r="A72" i="61" s="1"/>
  <c r="A73" i="61" s="1"/>
  <c r="A74" i="61" s="1"/>
  <c r="A75" i="61" s="1"/>
  <c r="A76" i="61" s="1"/>
  <c r="A77" i="61" s="1"/>
  <c r="A78" i="61" s="1"/>
  <c r="A79" i="61" s="1"/>
  <c r="A80" i="61" s="1"/>
  <c r="A81" i="61" s="1"/>
  <c r="A82" i="61" s="1"/>
  <c r="A83" i="61" s="1"/>
  <c r="A84" i="61" s="1"/>
  <c r="A85" i="61" s="1"/>
  <c r="A86" i="61" s="1"/>
  <c r="A87" i="61" s="1"/>
  <c r="A88" i="61" s="1"/>
  <c r="A89" i="61" s="1"/>
  <c r="A90" i="61" s="1"/>
  <c r="A91" i="61" s="1"/>
  <c r="A92" i="61" s="1"/>
  <c r="A93" i="61" s="1"/>
  <c r="A94" i="61" s="1"/>
  <c r="A95" i="61" s="1"/>
  <c r="A96" i="61" s="1"/>
  <c r="A97" i="61" s="1"/>
  <c r="A98" i="61" s="1"/>
  <c r="A99" i="61" s="1"/>
  <c r="A100" i="61" s="1"/>
  <c r="A101" i="61" s="1"/>
  <c r="A102" i="61" s="1"/>
  <c r="A103" i="61" s="1"/>
  <c r="A104" i="61" s="1"/>
  <c r="A105" i="61" s="1"/>
  <c r="A106" i="61" s="1"/>
  <c r="A107" i="61" s="1"/>
  <c r="A108" i="61" s="1"/>
  <c r="A109" i="61" s="1"/>
  <c r="A110" i="61" s="1"/>
  <c r="A111" i="61" s="1"/>
  <c r="A112" i="61" s="1"/>
  <c r="A113" i="61" s="1"/>
  <c r="A114" i="61" s="1"/>
  <c r="A115" i="61" s="1"/>
  <c r="A116" i="61" s="1"/>
  <c r="A117" i="61" s="1"/>
  <c r="A118" i="61" s="1"/>
  <c r="A119" i="61" s="1"/>
  <c r="A120" i="61" s="1"/>
  <c r="A121" i="61" s="1"/>
  <c r="A122" i="61" s="1"/>
  <c r="A123" i="61" s="1"/>
  <c r="A124" i="61" s="1"/>
  <c r="A125" i="61" s="1"/>
  <c r="A126" i="61" s="1"/>
  <c r="A127" i="61" s="1"/>
  <c r="A128" i="61" s="1"/>
  <c r="A129" i="61" s="1"/>
  <c r="A130" i="61" s="1"/>
  <c r="A131" i="61" s="1"/>
  <c r="A132" i="61" s="1"/>
  <c r="A133" i="61" s="1"/>
  <c r="A134" i="61" s="1"/>
  <c r="A135" i="61" s="1"/>
  <c r="A136" i="61" s="1"/>
  <c r="A137" i="61" s="1"/>
  <c r="A138" i="61" s="1"/>
  <c r="A139" i="61" s="1"/>
  <c r="A140" i="61" s="1"/>
  <c r="A141" i="61" s="1"/>
  <c r="A142" i="61" s="1"/>
  <c r="A143" i="61" s="1"/>
  <c r="A144" i="61" s="1"/>
  <c r="A145" i="61" s="1"/>
  <c r="A146" i="61" s="1"/>
  <c r="A147" i="61" s="1"/>
  <c r="A148" i="61" s="1"/>
  <c r="A149" i="61" s="1"/>
  <c r="A150" i="61" s="1"/>
  <c r="A151" i="61" s="1"/>
  <c r="A152" i="61" s="1"/>
  <c r="A153" i="61" s="1"/>
  <c r="A154" i="61" s="1"/>
  <c r="A155" i="61" s="1"/>
  <c r="A156" i="61" s="1"/>
  <c r="A157" i="61" s="1"/>
  <c r="A158" i="61" s="1"/>
  <c r="A159" i="61" s="1"/>
  <c r="A160" i="61" s="1"/>
  <c r="A161" i="61" s="1"/>
  <c r="A162" i="61" s="1"/>
  <c r="A163" i="61" s="1"/>
  <c r="X13" i="61"/>
  <c r="X8" i="61" s="1"/>
  <c r="V13" i="61"/>
  <c r="V8" i="61" s="1"/>
  <c r="T13" i="61"/>
  <c r="T8" i="61" s="1"/>
  <c r="S13" i="61"/>
  <c r="R13" i="61"/>
  <c r="Q13" i="61"/>
  <c r="Q8" i="61" s="1"/>
  <c r="P13" i="61"/>
  <c r="P8" i="61" s="1"/>
  <c r="O13" i="61"/>
  <c r="O8" i="61" s="1"/>
  <c r="N13" i="61"/>
  <c r="N8" i="61" s="1"/>
  <c r="H13" i="61"/>
  <c r="H8" i="61" s="1"/>
  <c r="G13" i="61"/>
  <c r="G8" i="61" s="1"/>
  <c r="G31" i="61" s="1"/>
  <c r="F13" i="61"/>
  <c r="E13" i="61"/>
  <c r="E8" i="61" s="1"/>
  <c r="E31" i="61" s="1"/>
  <c r="U12" i="61"/>
  <c r="W12" i="61" s="1"/>
  <c r="Y12" i="61" s="1"/>
  <c r="I12" i="61"/>
  <c r="K12" i="61" s="1"/>
  <c r="M12" i="61" s="1"/>
  <c r="U11" i="61"/>
  <c r="W11" i="61" s="1"/>
  <c r="Y11" i="61" s="1"/>
  <c r="L11" i="61"/>
  <c r="J11" i="61"/>
  <c r="U10" i="61"/>
  <c r="W10" i="61" s="1"/>
  <c r="Y10" i="61" s="1"/>
  <c r="L10" i="61"/>
  <c r="L141" i="61" s="1"/>
  <c r="J10" i="61"/>
  <c r="I10" i="61"/>
  <c r="U9" i="61"/>
  <c r="L9" i="61"/>
  <c r="L140" i="61" s="1"/>
  <c r="J9" i="61"/>
  <c r="I9" i="61"/>
  <c r="S8" i="61"/>
  <c r="R8" i="61"/>
  <c r="F8" i="61"/>
  <c r="L189" i="58"/>
  <c r="T188" i="58"/>
  <c r="V188" i="58" s="1"/>
  <c r="X188" i="58" s="1"/>
  <c r="Z188" i="58" s="1"/>
  <c r="S188" i="58"/>
  <c r="R188" i="58"/>
  <c r="Q188" i="58"/>
  <c r="P188" i="58"/>
  <c r="P184" i="58" s="1"/>
  <c r="L188" i="58"/>
  <c r="H188" i="58"/>
  <c r="F188" i="58"/>
  <c r="Y187" i="58"/>
  <c r="W187" i="58"/>
  <c r="W189" i="58" s="1"/>
  <c r="U187" i="58"/>
  <c r="T187" i="58"/>
  <c r="T189" i="58" s="1"/>
  <c r="S187" i="58"/>
  <c r="S189" i="58" s="1"/>
  <c r="R187" i="58"/>
  <c r="R189" i="58" s="1"/>
  <c r="Q187" i="58"/>
  <c r="Q184" i="58" s="1"/>
  <c r="P187" i="58"/>
  <c r="O187" i="58"/>
  <c r="O189" i="58" s="1"/>
  <c r="H187" i="58"/>
  <c r="F187" i="58"/>
  <c r="F184" i="58" s="1"/>
  <c r="Y186" i="58"/>
  <c r="W186" i="58"/>
  <c r="V186" i="58"/>
  <c r="X186" i="58" s="1"/>
  <c r="Z186" i="58" s="1"/>
  <c r="U186" i="58"/>
  <c r="Y185" i="58"/>
  <c r="W185" i="58"/>
  <c r="U185" i="58"/>
  <c r="T185" i="58"/>
  <c r="V185" i="58" s="1"/>
  <c r="X185" i="58" s="1"/>
  <c r="Z185" i="58" s="1"/>
  <c r="S185" i="58"/>
  <c r="R185" i="58"/>
  <c r="Q185" i="58"/>
  <c r="P185" i="58"/>
  <c r="J185" i="58"/>
  <c r="H185" i="58"/>
  <c r="G185" i="58"/>
  <c r="G184" i="58" s="1"/>
  <c r="F185" i="58"/>
  <c r="T184" i="58"/>
  <c r="I184" i="58"/>
  <c r="Y183" i="58"/>
  <c r="Y178" i="58" s="1"/>
  <c r="W183" i="58"/>
  <c r="U183" i="58"/>
  <c r="V183" i="58" s="1"/>
  <c r="T183" i="58"/>
  <c r="S183" i="58"/>
  <c r="R183" i="58"/>
  <c r="Q183" i="58"/>
  <c r="P183" i="58"/>
  <c r="J183" i="58"/>
  <c r="L183" i="58" s="1"/>
  <c r="H183" i="58"/>
  <c r="F183" i="58"/>
  <c r="Y182" i="58"/>
  <c r="W182" i="58"/>
  <c r="U182" i="58"/>
  <c r="T182" i="58"/>
  <c r="S182" i="58"/>
  <c r="R182" i="58"/>
  <c r="Q182" i="58"/>
  <c r="P182" i="58"/>
  <c r="O182" i="58"/>
  <c r="J182" i="58"/>
  <c r="L182" i="58" s="1"/>
  <c r="H182" i="58"/>
  <c r="F182" i="58"/>
  <c r="Y181" i="58"/>
  <c r="W181" i="58"/>
  <c r="U181" i="58"/>
  <c r="T181" i="58"/>
  <c r="S181" i="58"/>
  <c r="R181" i="58"/>
  <c r="Q181" i="58"/>
  <c r="P181" i="58"/>
  <c r="O181" i="58"/>
  <c r="J181" i="58"/>
  <c r="L181" i="58" s="1"/>
  <c r="H181" i="58"/>
  <c r="F181" i="58"/>
  <c r="T180" i="58"/>
  <c r="V180" i="58" s="1"/>
  <c r="X180" i="58" s="1"/>
  <c r="Z180" i="58" s="1"/>
  <c r="S180" i="58"/>
  <c r="R180" i="58"/>
  <c r="Q180" i="58"/>
  <c r="P180" i="58"/>
  <c r="J180" i="58"/>
  <c r="L180" i="58" s="1"/>
  <c r="H180" i="58"/>
  <c r="F180" i="58"/>
  <c r="T179" i="58"/>
  <c r="S179" i="58"/>
  <c r="S178" i="58" s="1"/>
  <c r="R179" i="58"/>
  <c r="Q179" i="58"/>
  <c r="Q178" i="58" s="1"/>
  <c r="P179" i="58"/>
  <c r="J179" i="58"/>
  <c r="L179" i="58" s="1"/>
  <c r="L178" i="58" s="1"/>
  <c r="H179" i="58"/>
  <c r="F179" i="58"/>
  <c r="F178" i="58" s="1"/>
  <c r="W178" i="58"/>
  <c r="O178" i="58"/>
  <c r="K178" i="58"/>
  <c r="I178" i="58"/>
  <c r="H178" i="58"/>
  <c r="G178" i="58"/>
  <c r="T177" i="58"/>
  <c r="V177" i="58" s="1"/>
  <c r="X177" i="58" s="1"/>
  <c r="Z177" i="58" s="1"/>
  <c r="S177" i="58"/>
  <c r="R177" i="58"/>
  <c r="Q177" i="58"/>
  <c r="P177" i="58"/>
  <c r="O177" i="58"/>
  <c r="Y176" i="58"/>
  <c r="Y173" i="58" s="1"/>
  <c r="T176" i="58"/>
  <c r="V176" i="58" s="1"/>
  <c r="X176" i="58" s="1"/>
  <c r="S176" i="58"/>
  <c r="R176" i="58"/>
  <c r="Q176" i="58"/>
  <c r="P176" i="58"/>
  <c r="O176" i="58"/>
  <c r="T175" i="58"/>
  <c r="S175" i="58"/>
  <c r="R175" i="58"/>
  <c r="Q175" i="58"/>
  <c r="P175" i="58"/>
  <c r="P173" i="58" s="1"/>
  <c r="O175" i="58"/>
  <c r="V174" i="58"/>
  <c r="T174" i="58"/>
  <c r="S174" i="58"/>
  <c r="R174" i="58"/>
  <c r="Q174" i="58"/>
  <c r="Q173" i="58" s="1"/>
  <c r="P174" i="58"/>
  <c r="O174" i="58"/>
  <c r="W173" i="58"/>
  <c r="U173" i="58"/>
  <c r="Y172" i="58"/>
  <c r="V172" i="58"/>
  <c r="X172" i="58" s="1"/>
  <c r="Z172" i="58" s="1"/>
  <c r="T172" i="58"/>
  <c r="S172" i="58"/>
  <c r="R172" i="58"/>
  <c r="Q172" i="58"/>
  <c r="P172" i="58"/>
  <c r="O172" i="58"/>
  <c r="H172" i="58"/>
  <c r="J172" i="58" s="1"/>
  <c r="F172" i="58"/>
  <c r="Y171" i="58"/>
  <c r="W171" i="58"/>
  <c r="U171" i="58"/>
  <c r="T171" i="58"/>
  <c r="S171" i="58"/>
  <c r="R171" i="58"/>
  <c r="Q171" i="58"/>
  <c r="P171" i="58"/>
  <c r="O171" i="58"/>
  <c r="K171" i="58"/>
  <c r="I171" i="58"/>
  <c r="H171" i="58"/>
  <c r="F171" i="58"/>
  <c r="Y170" i="58"/>
  <c r="W170" i="58"/>
  <c r="U170" i="58"/>
  <c r="T170" i="58"/>
  <c r="V170" i="58" s="1"/>
  <c r="S170" i="58"/>
  <c r="R170" i="58"/>
  <c r="Q170" i="58"/>
  <c r="P170" i="58"/>
  <c r="O170" i="58"/>
  <c r="F170" i="58"/>
  <c r="T169" i="58"/>
  <c r="V169" i="58" s="1"/>
  <c r="X169" i="58" s="1"/>
  <c r="Z169" i="58" s="1"/>
  <c r="S169" i="58"/>
  <c r="R169" i="58"/>
  <c r="Q169" i="58"/>
  <c r="P169" i="58"/>
  <c r="J169" i="58"/>
  <c r="L169" i="58" s="1"/>
  <c r="H169" i="58"/>
  <c r="F169" i="58"/>
  <c r="T168" i="58"/>
  <c r="V168" i="58" s="1"/>
  <c r="X168" i="58" s="1"/>
  <c r="Z168" i="58" s="1"/>
  <c r="S168" i="58"/>
  <c r="R168" i="58"/>
  <c r="Q168" i="58"/>
  <c r="P168" i="58"/>
  <c r="K168" i="58"/>
  <c r="H168" i="58"/>
  <c r="J168" i="58" s="1"/>
  <c r="F168" i="58"/>
  <c r="Y167" i="58"/>
  <c r="W167" i="58"/>
  <c r="V167" i="58"/>
  <c r="X167" i="58" s="1"/>
  <c r="Z167" i="58" s="1"/>
  <c r="T167" i="58"/>
  <c r="S167" i="58"/>
  <c r="R167" i="58"/>
  <c r="Q167" i="58"/>
  <c r="P167" i="58"/>
  <c r="K167" i="58"/>
  <c r="H167" i="58"/>
  <c r="F167" i="58"/>
  <c r="Y166" i="58"/>
  <c r="W166" i="58"/>
  <c r="U166" i="58"/>
  <c r="T166" i="58"/>
  <c r="S166" i="58"/>
  <c r="R166" i="58"/>
  <c r="Q166" i="58"/>
  <c r="P166" i="58"/>
  <c r="O166" i="58"/>
  <c r="J166" i="58"/>
  <c r="F166" i="58"/>
  <c r="Y165" i="58"/>
  <c r="W165" i="58"/>
  <c r="V165" i="58"/>
  <c r="X165" i="58" s="1"/>
  <c r="Z165" i="58" s="1"/>
  <c r="U165" i="58"/>
  <c r="T165" i="58"/>
  <c r="S165" i="58"/>
  <c r="R165" i="58"/>
  <c r="Q165" i="58"/>
  <c r="P165" i="58"/>
  <c r="O165" i="58"/>
  <c r="J165" i="58"/>
  <c r="F165" i="58"/>
  <c r="Y164" i="58"/>
  <c r="W164" i="58"/>
  <c r="U164" i="58"/>
  <c r="T164" i="58"/>
  <c r="S164" i="58"/>
  <c r="R164" i="58"/>
  <c r="Q164" i="58"/>
  <c r="P164" i="58"/>
  <c r="O164" i="58"/>
  <c r="O162" i="58" s="1"/>
  <c r="O161" i="58" s="1"/>
  <c r="M164" i="58"/>
  <c r="J164" i="58"/>
  <c r="F164" i="58"/>
  <c r="Y163" i="58"/>
  <c r="Y162" i="58" s="1"/>
  <c r="Y161" i="58" s="1"/>
  <c r="W163" i="58"/>
  <c r="V163" i="58"/>
  <c r="U163" i="58"/>
  <c r="T163" i="58"/>
  <c r="S163" i="58"/>
  <c r="R163" i="58"/>
  <c r="R162" i="58" s="1"/>
  <c r="R161" i="58" s="1"/>
  <c r="Q163" i="58"/>
  <c r="P163" i="58"/>
  <c r="O163" i="58"/>
  <c r="J163" i="58"/>
  <c r="F163" i="58"/>
  <c r="W162" i="58"/>
  <c r="W161" i="58" s="1"/>
  <c r="W160" i="58" s="1"/>
  <c r="F162" i="58"/>
  <c r="F161" i="58" s="1"/>
  <c r="F160" i="58" s="1"/>
  <c r="I161" i="58"/>
  <c r="I160" i="58" s="1"/>
  <c r="G160" i="58"/>
  <c r="Z157" i="58"/>
  <c r="X157" i="58"/>
  <c r="V157" i="58"/>
  <c r="T157" i="58"/>
  <c r="S157" i="58"/>
  <c r="R157" i="58"/>
  <c r="Q157" i="58"/>
  <c r="O157" i="58"/>
  <c r="I156" i="58"/>
  <c r="V155" i="58"/>
  <c r="X155" i="58" s="1"/>
  <c r="Z155" i="58" s="1"/>
  <c r="K155" i="58"/>
  <c r="K153" i="58" s="1"/>
  <c r="K156" i="58" s="1"/>
  <c r="J155" i="58"/>
  <c r="L155" i="58" s="1"/>
  <c r="N155" i="58" s="1"/>
  <c r="V154" i="58"/>
  <c r="X154" i="58" s="1"/>
  <c r="Z154" i="58" s="1"/>
  <c r="J154" i="58"/>
  <c r="Y153" i="58"/>
  <c r="W153" i="58"/>
  <c r="U153" i="58"/>
  <c r="T153" i="58"/>
  <c r="S153" i="58"/>
  <c r="R153" i="58"/>
  <c r="Q153" i="58"/>
  <c r="P153" i="58"/>
  <c r="O153" i="58"/>
  <c r="J153" i="58"/>
  <c r="I153" i="58"/>
  <c r="H153" i="58"/>
  <c r="G153" i="58"/>
  <c r="G156" i="58" s="1"/>
  <c r="F153" i="58"/>
  <c r="F156" i="58" s="1"/>
  <c r="V152" i="58"/>
  <c r="X152" i="58" s="1"/>
  <c r="Z152" i="58" s="1"/>
  <c r="J152" i="58"/>
  <c r="X151" i="58"/>
  <c r="Z151" i="58" s="1"/>
  <c r="V151" i="58"/>
  <c r="J151" i="58"/>
  <c r="V150" i="58"/>
  <c r="X150" i="58" s="1"/>
  <c r="Z150" i="58" s="1"/>
  <c r="J150" i="58"/>
  <c r="X149" i="58"/>
  <c r="Z149" i="58" s="1"/>
  <c r="V149" i="58"/>
  <c r="J149" i="58"/>
  <c r="T148" i="58"/>
  <c r="S148" i="58"/>
  <c r="R148" i="58"/>
  <c r="Q148" i="58"/>
  <c r="P148" i="58"/>
  <c r="J148" i="58"/>
  <c r="F148" i="58"/>
  <c r="V147" i="58"/>
  <c r="X147" i="58" s="1"/>
  <c r="Z147" i="58" s="1"/>
  <c r="V146" i="58"/>
  <c r="X146" i="58" s="1"/>
  <c r="Z146" i="58" s="1"/>
  <c r="V145" i="58"/>
  <c r="X145" i="58" s="1"/>
  <c r="X144" i="58"/>
  <c r="Z144" i="58" s="1"/>
  <c r="V144" i="58"/>
  <c r="Y143" i="58"/>
  <c r="W143" i="58"/>
  <c r="U143" i="58"/>
  <c r="T143" i="58"/>
  <c r="S143" i="58"/>
  <c r="R143" i="58"/>
  <c r="Q143" i="58"/>
  <c r="P143" i="58"/>
  <c r="O143" i="58"/>
  <c r="V142" i="58"/>
  <c r="X142" i="58" s="1"/>
  <c r="Z142" i="58" s="1"/>
  <c r="J142" i="58"/>
  <c r="V141" i="58"/>
  <c r="X141" i="58" s="1"/>
  <c r="Z141" i="58" s="1"/>
  <c r="J141" i="58"/>
  <c r="V140" i="58"/>
  <c r="X140" i="58" s="1"/>
  <c r="Z140" i="58" s="1"/>
  <c r="J140" i="58"/>
  <c r="L140" i="58" s="1"/>
  <c r="X139" i="58"/>
  <c r="Z139" i="58" s="1"/>
  <c r="V139" i="58"/>
  <c r="J139" i="58"/>
  <c r="V138" i="58"/>
  <c r="X138" i="58" s="1"/>
  <c r="Z138" i="58" s="1"/>
  <c r="J138" i="58"/>
  <c r="V137" i="58"/>
  <c r="X137" i="58" s="1"/>
  <c r="Z137" i="58" s="1"/>
  <c r="J137" i="58"/>
  <c r="V136" i="58"/>
  <c r="X136" i="58" s="1"/>
  <c r="Z136" i="58" s="1"/>
  <c r="J136" i="58"/>
  <c r="V135" i="58"/>
  <c r="X135" i="58" s="1"/>
  <c r="Z135" i="58" s="1"/>
  <c r="J135" i="58"/>
  <c r="V134" i="58"/>
  <c r="X134" i="58" s="1"/>
  <c r="Z134" i="58" s="1"/>
  <c r="J134" i="58"/>
  <c r="V133" i="58"/>
  <c r="X133" i="58" s="1"/>
  <c r="J133" i="58"/>
  <c r="Y132" i="58"/>
  <c r="Y131" i="58" s="1"/>
  <c r="W132" i="58"/>
  <c r="W131" i="58" s="1"/>
  <c r="W130" i="58" s="1"/>
  <c r="U132" i="58"/>
  <c r="U131" i="58" s="1"/>
  <c r="U130" i="58" s="1"/>
  <c r="T132" i="58"/>
  <c r="S132" i="58"/>
  <c r="S131" i="58" s="1"/>
  <c r="S130" i="58" s="1"/>
  <c r="R132" i="58"/>
  <c r="R131" i="58" s="1"/>
  <c r="R130" i="58" s="1"/>
  <c r="R156" i="58" s="1"/>
  <c r="Q132" i="58"/>
  <c r="Q131" i="58" s="1"/>
  <c r="Q130" i="58" s="1"/>
  <c r="P132" i="58"/>
  <c r="J132" i="58"/>
  <c r="F132" i="58"/>
  <c r="T131" i="58"/>
  <c r="V131" i="58" s="1"/>
  <c r="P131" i="58"/>
  <c r="L131" i="58"/>
  <c r="J131" i="58"/>
  <c r="Y130" i="58"/>
  <c r="P130" i="58"/>
  <c r="P156" i="58" s="1"/>
  <c r="O130" i="58"/>
  <c r="H130" i="58"/>
  <c r="J130" i="58" s="1"/>
  <c r="L130" i="58" s="1"/>
  <c r="G130" i="58"/>
  <c r="F130" i="58"/>
  <c r="Z127" i="58"/>
  <c r="X127" i="58"/>
  <c r="V127" i="58"/>
  <c r="T127" i="58"/>
  <c r="S127" i="58"/>
  <c r="R127" i="58"/>
  <c r="Q127" i="58"/>
  <c r="O127" i="58"/>
  <c r="V125" i="58"/>
  <c r="X125" i="58" s="1"/>
  <c r="Z125" i="58" s="1"/>
  <c r="K125" i="58"/>
  <c r="K123" i="58" s="1"/>
  <c r="K126" i="58" s="1"/>
  <c r="J125" i="58"/>
  <c r="X124" i="58"/>
  <c r="Z124" i="58" s="1"/>
  <c r="V124" i="58"/>
  <c r="J124" i="58"/>
  <c r="Y123" i="58"/>
  <c r="W123" i="58"/>
  <c r="U123" i="58"/>
  <c r="T123" i="58"/>
  <c r="S123" i="58"/>
  <c r="R123" i="58"/>
  <c r="Q123" i="58"/>
  <c r="P123" i="58"/>
  <c r="O123" i="58"/>
  <c r="M123" i="58"/>
  <c r="I123" i="58"/>
  <c r="J123" i="58" s="1"/>
  <c r="G123" i="58"/>
  <c r="F123" i="58"/>
  <c r="F126" i="58" s="1"/>
  <c r="J122" i="58"/>
  <c r="J121" i="58"/>
  <c r="J120" i="58"/>
  <c r="J119" i="58"/>
  <c r="T118" i="58"/>
  <c r="S118" i="58"/>
  <c r="R118" i="58"/>
  <c r="Q118" i="58"/>
  <c r="P118" i="58"/>
  <c r="J118" i="58"/>
  <c r="F118" i="58"/>
  <c r="Z113" i="58"/>
  <c r="Y113" i="58"/>
  <c r="X113" i="58"/>
  <c r="W113" i="58"/>
  <c r="V113" i="58"/>
  <c r="U113" i="58"/>
  <c r="T113" i="58"/>
  <c r="S113" i="58"/>
  <c r="R113" i="58"/>
  <c r="R100" i="58" s="1"/>
  <c r="Q113" i="58"/>
  <c r="P113" i="58"/>
  <c r="O113" i="58"/>
  <c r="O100" i="58" s="1"/>
  <c r="O126" i="58" s="1"/>
  <c r="J112" i="58"/>
  <c r="V111" i="58"/>
  <c r="X111" i="58" s="1"/>
  <c r="Z111" i="58" s="1"/>
  <c r="J111" i="58"/>
  <c r="V110" i="58"/>
  <c r="X110" i="58" s="1"/>
  <c r="Z110" i="58" s="1"/>
  <c r="L110" i="58"/>
  <c r="N110" i="58" s="1"/>
  <c r="J110" i="58"/>
  <c r="J109" i="58"/>
  <c r="J108" i="58"/>
  <c r="J107" i="58"/>
  <c r="J106" i="58"/>
  <c r="J105" i="58"/>
  <c r="J104" i="58"/>
  <c r="J103" i="58"/>
  <c r="T102" i="58"/>
  <c r="S102" i="58"/>
  <c r="S101" i="58" s="1"/>
  <c r="S100" i="58" s="1"/>
  <c r="R102" i="58"/>
  <c r="R101" i="58" s="1"/>
  <c r="Q102" i="58"/>
  <c r="Q101" i="58" s="1"/>
  <c r="Q100" i="58" s="1"/>
  <c r="P102" i="58"/>
  <c r="J102" i="58"/>
  <c r="H102" i="58"/>
  <c r="F102" i="58"/>
  <c r="Y101" i="58"/>
  <c r="Y100" i="58" s="1"/>
  <c r="W101" i="58"/>
  <c r="W100" i="58" s="1"/>
  <c r="U101" i="58"/>
  <c r="U100" i="58" s="1"/>
  <c r="T101" i="58"/>
  <c r="V101" i="58" s="1"/>
  <c r="P101" i="58"/>
  <c r="P100" i="58" s="1"/>
  <c r="L101" i="58"/>
  <c r="N101" i="58" s="1"/>
  <c r="T100" i="58"/>
  <c r="V100" i="58" s="1"/>
  <c r="X100" i="58" s="1"/>
  <c r="Z100" i="58" s="1"/>
  <c r="M100" i="58"/>
  <c r="I100" i="58"/>
  <c r="H100" i="58"/>
  <c r="H126" i="58" s="1"/>
  <c r="G100" i="58"/>
  <c r="F100" i="58"/>
  <c r="Z97" i="58"/>
  <c r="X97" i="58"/>
  <c r="V97" i="58"/>
  <c r="T97" i="58"/>
  <c r="S97" i="58"/>
  <c r="R97" i="58"/>
  <c r="Q97" i="58"/>
  <c r="O97" i="58"/>
  <c r="G96" i="58"/>
  <c r="V95" i="58"/>
  <c r="X95" i="58" s="1"/>
  <c r="Z95" i="58" s="1"/>
  <c r="L95" i="58"/>
  <c r="N95" i="58" s="1"/>
  <c r="X94" i="58"/>
  <c r="Z94" i="58" s="1"/>
  <c r="V94" i="58"/>
  <c r="J94" i="58"/>
  <c r="Y93" i="58"/>
  <c r="W93" i="58"/>
  <c r="U93" i="58"/>
  <c r="T93" i="58"/>
  <c r="S93" i="58"/>
  <c r="R93" i="58"/>
  <c r="Q93" i="58"/>
  <c r="P93" i="58"/>
  <c r="O93" i="58"/>
  <c r="K93" i="58"/>
  <c r="K96" i="58" s="1"/>
  <c r="I93" i="58"/>
  <c r="J93" i="58" s="1"/>
  <c r="L93" i="58" s="1"/>
  <c r="N93" i="58" s="1"/>
  <c r="H93" i="58"/>
  <c r="H96" i="58" s="1"/>
  <c r="F93" i="58"/>
  <c r="F96" i="58" s="1"/>
  <c r="V92" i="58"/>
  <c r="X92" i="58" s="1"/>
  <c r="Z92" i="58" s="1"/>
  <c r="J92" i="58"/>
  <c r="V91" i="58"/>
  <c r="X91" i="58" s="1"/>
  <c r="Z91" i="58" s="1"/>
  <c r="J91" i="58"/>
  <c r="Z90" i="58"/>
  <c r="V90" i="58"/>
  <c r="X90" i="58" s="1"/>
  <c r="J90" i="58"/>
  <c r="V89" i="58"/>
  <c r="X89" i="58" s="1"/>
  <c r="Z89" i="58" s="1"/>
  <c r="J89" i="58"/>
  <c r="J88" i="58"/>
  <c r="Z83" i="58"/>
  <c r="Y83" i="58"/>
  <c r="X83" i="58"/>
  <c r="W83" i="58"/>
  <c r="V83" i="58"/>
  <c r="U83" i="58"/>
  <c r="T83" i="58"/>
  <c r="S83" i="58"/>
  <c r="R83" i="58"/>
  <c r="Q83" i="58"/>
  <c r="P83" i="58"/>
  <c r="O83" i="58"/>
  <c r="O70" i="58" s="1"/>
  <c r="O96" i="58" s="1"/>
  <c r="X82" i="58"/>
  <c r="Z82" i="58" s="1"/>
  <c r="V82" i="58"/>
  <c r="J82" i="58"/>
  <c r="V81" i="58"/>
  <c r="X81" i="58" s="1"/>
  <c r="Z81" i="58" s="1"/>
  <c r="J81" i="58"/>
  <c r="X80" i="58"/>
  <c r="Z80" i="58" s="1"/>
  <c r="V80" i="58"/>
  <c r="L80" i="58"/>
  <c r="J80" i="58"/>
  <c r="V79" i="58"/>
  <c r="X79" i="58" s="1"/>
  <c r="Z79" i="58" s="1"/>
  <c r="J79" i="58"/>
  <c r="V78" i="58"/>
  <c r="X78" i="58" s="1"/>
  <c r="Z78" i="58" s="1"/>
  <c r="J78" i="58"/>
  <c r="V77" i="58"/>
  <c r="X77" i="58" s="1"/>
  <c r="Z77" i="58" s="1"/>
  <c r="J77" i="58"/>
  <c r="V76" i="58"/>
  <c r="X76" i="58" s="1"/>
  <c r="Z76" i="58" s="1"/>
  <c r="J76" i="58"/>
  <c r="V75" i="58"/>
  <c r="X75" i="58" s="1"/>
  <c r="Z75" i="58" s="1"/>
  <c r="J75" i="58"/>
  <c r="V74" i="58"/>
  <c r="X74" i="58" s="1"/>
  <c r="Z74" i="58" s="1"/>
  <c r="J74" i="58"/>
  <c r="V73" i="58"/>
  <c r="X73" i="58" s="1"/>
  <c r="Z73" i="58" s="1"/>
  <c r="J73" i="58"/>
  <c r="Y72" i="58"/>
  <c r="Y71" i="58" s="1"/>
  <c r="Y70" i="58" s="1"/>
  <c r="W72" i="58"/>
  <c r="W71" i="58" s="1"/>
  <c r="U72" i="58"/>
  <c r="T72" i="58"/>
  <c r="V72" i="58" s="1"/>
  <c r="X72" i="58" s="1"/>
  <c r="Z72" i="58" s="1"/>
  <c r="S72" i="58"/>
  <c r="R72" i="58"/>
  <c r="Q72" i="58"/>
  <c r="P72" i="58"/>
  <c r="P71" i="58" s="1"/>
  <c r="P70" i="58" s="1"/>
  <c r="P96" i="58" s="1"/>
  <c r="J72" i="58"/>
  <c r="U71" i="58"/>
  <c r="U70" i="58" s="1"/>
  <c r="S71" i="58"/>
  <c r="R71" i="58"/>
  <c r="Q71" i="58"/>
  <c r="Q70" i="58"/>
  <c r="L70" i="58"/>
  <c r="Z67" i="58"/>
  <c r="X67" i="58"/>
  <c r="V67" i="58"/>
  <c r="T67" i="58"/>
  <c r="S67" i="58"/>
  <c r="R67" i="58"/>
  <c r="Q67" i="58"/>
  <c r="O67" i="58"/>
  <c r="I66" i="58"/>
  <c r="X65" i="58"/>
  <c r="Z65" i="58" s="1"/>
  <c r="V65" i="58"/>
  <c r="M65" i="58"/>
  <c r="M187" i="58" s="1"/>
  <c r="M184" i="58" s="1"/>
  <c r="J65" i="58"/>
  <c r="L65" i="58" s="1"/>
  <c r="V64" i="58"/>
  <c r="J64" i="58"/>
  <c r="K64" i="58" s="1"/>
  <c r="K63" i="58" s="1"/>
  <c r="Y63" i="58"/>
  <c r="W63" i="58"/>
  <c r="U63" i="58"/>
  <c r="T63" i="58"/>
  <c r="S63" i="58"/>
  <c r="R63" i="58"/>
  <c r="Q63" i="58"/>
  <c r="P63" i="58"/>
  <c r="O63" i="58"/>
  <c r="H63" i="58"/>
  <c r="J63" i="58" s="1"/>
  <c r="F63" i="58"/>
  <c r="V62" i="58"/>
  <c r="J62" i="58"/>
  <c r="K62" i="58" s="1"/>
  <c r="V61" i="58"/>
  <c r="X61" i="58" s="1"/>
  <c r="Z61" i="58" s="1"/>
  <c r="J61" i="58"/>
  <c r="K61" i="58" s="1"/>
  <c r="V60" i="58"/>
  <c r="X60" i="58" s="1"/>
  <c r="Z60" i="58" s="1"/>
  <c r="J60" i="58"/>
  <c r="K60" i="58" s="1"/>
  <c r="X59" i="58"/>
  <c r="Z59" i="58" s="1"/>
  <c r="V59" i="58"/>
  <c r="K59" i="58"/>
  <c r="J59" i="58"/>
  <c r="Y58" i="58"/>
  <c r="W58" i="58"/>
  <c r="U58" i="58"/>
  <c r="T58" i="58"/>
  <c r="S58" i="58"/>
  <c r="R58" i="58"/>
  <c r="Q58" i="58"/>
  <c r="P58" i="58"/>
  <c r="J58" i="58"/>
  <c r="K58" i="58" s="1"/>
  <c r="H58" i="58"/>
  <c r="F58" i="58"/>
  <c r="V57" i="58"/>
  <c r="X57" i="58" s="1"/>
  <c r="Z57" i="58" s="1"/>
  <c r="V56" i="58"/>
  <c r="X56" i="58" s="1"/>
  <c r="Z56" i="58" s="1"/>
  <c r="X55" i="58"/>
  <c r="Z55" i="58" s="1"/>
  <c r="V55" i="58"/>
  <c r="V54" i="58"/>
  <c r="Y53" i="58"/>
  <c r="W53" i="58"/>
  <c r="U53" i="58"/>
  <c r="T53" i="58"/>
  <c r="S53" i="58"/>
  <c r="R53" i="58"/>
  <c r="Q53" i="58"/>
  <c r="P53" i="58"/>
  <c r="O53" i="58"/>
  <c r="O40" i="58" s="1"/>
  <c r="J52" i="58"/>
  <c r="K52" i="58" s="1"/>
  <c r="V51" i="58"/>
  <c r="X51" i="58" s="1"/>
  <c r="Z51" i="58" s="1"/>
  <c r="J51" i="58"/>
  <c r="K51" i="58" s="1"/>
  <c r="V50" i="58"/>
  <c r="X50" i="58" s="1"/>
  <c r="Z50" i="58" s="1"/>
  <c r="J50" i="58"/>
  <c r="L50" i="58" s="1"/>
  <c r="J49" i="58"/>
  <c r="K49" i="58" s="1"/>
  <c r="J48" i="58"/>
  <c r="J47" i="58"/>
  <c r="K47" i="58" s="1"/>
  <c r="J46" i="58"/>
  <c r="K46" i="58" s="1"/>
  <c r="J45" i="58"/>
  <c r="K45" i="58" s="1"/>
  <c r="J44" i="58"/>
  <c r="K44" i="58" s="1"/>
  <c r="J43" i="58"/>
  <c r="K43" i="58" s="1"/>
  <c r="Y42" i="58"/>
  <c r="W42" i="58"/>
  <c r="W41" i="58" s="1"/>
  <c r="W40" i="58" s="1"/>
  <c r="U42" i="58"/>
  <c r="T42" i="58"/>
  <c r="T41" i="58" s="1"/>
  <c r="S42" i="58"/>
  <c r="R42" i="58"/>
  <c r="R41" i="58" s="1"/>
  <c r="Q42" i="58"/>
  <c r="P42" i="58"/>
  <c r="P41" i="58" s="1"/>
  <c r="P40" i="58" s="1"/>
  <c r="J42" i="58"/>
  <c r="K42" i="58" s="1"/>
  <c r="Y41" i="58"/>
  <c r="Y40" i="58" s="1"/>
  <c r="U41" i="58"/>
  <c r="S41" i="58"/>
  <c r="Q41" i="58"/>
  <c r="Q40" i="58" s="1"/>
  <c r="M41" i="58"/>
  <c r="J41" i="58"/>
  <c r="H41" i="58"/>
  <c r="H40" i="58" s="1"/>
  <c r="J40" i="58" s="1"/>
  <c r="F41" i="58"/>
  <c r="F40" i="58" s="1"/>
  <c r="U40" i="58"/>
  <c r="M40" i="58"/>
  <c r="G40" i="58"/>
  <c r="G66" i="58" s="1"/>
  <c r="Z37" i="58"/>
  <c r="X37" i="58"/>
  <c r="V37" i="58"/>
  <c r="T37" i="58"/>
  <c r="S37" i="58"/>
  <c r="R37" i="58"/>
  <c r="Q37" i="58"/>
  <c r="O37" i="58"/>
  <c r="V35" i="58"/>
  <c r="X35" i="58" s="1"/>
  <c r="Z35" i="58" s="1"/>
  <c r="J35" i="58"/>
  <c r="K35" i="58" s="1"/>
  <c r="X34" i="58"/>
  <c r="Z34" i="58" s="1"/>
  <c r="V34" i="58"/>
  <c r="Z33" i="58"/>
  <c r="Z32" i="58" s="1"/>
  <c r="V33" i="58"/>
  <c r="X33" i="58" s="1"/>
  <c r="J33" i="58"/>
  <c r="Y32" i="58"/>
  <c r="W32" i="58"/>
  <c r="U32" i="58"/>
  <c r="T32" i="58"/>
  <c r="S32" i="58"/>
  <c r="R32" i="58"/>
  <c r="Q32" i="58"/>
  <c r="P32" i="58"/>
  <c r="O32" i="58"/>
  <c r="N32" i="58"/>
  <c r="M32" i="58"/>
  <c r="L32" i="58"/>
  <c r="J32" i="58"/>
  <c r="I32" i="58"/>
  <c r="I36" i="58" s="1"/>
  <c r="H32" i="58"/>
  <c r="G32" i="58"/>
  <c r="F32" i="58"/>
  <c r="V31" i="58"/>
  <c r="X31" i="58" s="1"/>
  <c r="Z31" i="58" s="1"/>
  <c r="M31" i="58"/>
  <c r="M183" i="58" s="1"/>
  <c r="M178" i="58" s="1"/>
  <c r="J31" i="58"/>
  <c r="K31" i="58" s="1"/>
  <c r="V30" i="58"/>
  <c r="X30" i="58" s="1"/>
  <c r="Z30" i="58" s="1"/>
  <c r="J30" i="58"/>
  <c r="K30" i="58" s="1"/>
  <c r="V29" i="58"/>
  <c r="X29" i="58" s="1"/>
  <c r="Z29" i="58" s="1"/>
  <c r="J29" i="58"/>
  <c r="K29" i="58" s="1"/>
  <c r="X28" i="58"/>
  <c r="Z28" i="58" s="1"/>
  <c r="V28" i="58"/>
  <c r="K28" i="58"/>
  <c r="J28" i="58"/>
  <c r="V27" i="58"/>
  <c r="J27" i="58"/>
  <c r="K27" i="58" s="1"/>
  <c r="Y26" i="58"/>
  <c r="W26" i="58"/>
  <c r="U26" i="58"/>
  <c r="T26" i="58"/>
  <c r="S26" i="58"/>
  <c r="R26" i="58"/>
  <c r="Q26" i="58"/>
  <c r="P26" i="58"/>
  <c r="O26" i="58"/>
  <c r="N26" i="58"/>
  <c r="N178" i="58" s="1"/>
  <c r="L26" i="58"/>
  <c r="I26" i="58"/>
  <c r="H26" i="58"/>
  <c r="G26" i="58"/>
  <c r="F26" i="58"/>
  <c r="V25" i="58"/>
  <c r="X25" i="58" s="1"/>
  <c r="Z25" i="58" s="1"/>
  <c r="X24" i="58"/>
  <c r="Z24" i="58" s="1"/>
  <c r="V24" i="58"/>
  <c r="V23" i="58"/>
  <c r="X23" i="58" s="1"/>
  <c r="V22" i="58"/>
  <c r="X22" i="58" s="1"/>
  <c r="Z22" i="58" s="1"/>
  <c r="Y21" i="58"/>
  <c r="W21" i="58"/>
  <c r="U21" i="58"/>
  <c r="T21" i="58"/>
  <c r="S21" i="58"/>
  <c r="R21" i="58"/>
  <c r="Q21" i="58"/>
  <c r="P21" i="58"/>
  <c r="O21" i="58"/>
  <c r="V20" i="58"/>
  <c r="X20" i="58" s="1"/>
  <c r="Z20" i="58" s="1"/>
  <c r="N20" i="58"/>
  <c r="K20" i="58"/>
  <c r="K172" i="58" s="1"/>
  <c r="L172" i="58" s="1"/>
  <c r="J20" i="58"/>
  <c r="V19" i="58"/>
  <c r="X19" i="58" s="1"/>
  <c r="Z19" i="58" s="1"/>
  <c r="M19" i="58"/>
  <c r="M171" i="58" s="1"/>
  <c r="J19" i="58"/>
  <c r="L19" i="58" s="1"/>
  <c r="N19" i="58" s="1"/>
  <c r="N171" i="58" s="1"/>
  <c r="V18" i="58"/>
  <c r="X18" i="58" s="1"/>
  <c r="Z18" i="58" s="1"/>
  <c r="M18" i="58"/>
  <c r="M170" i="58" s="1"/>
  <c r="K18" i="58"/>
  <c r="K170" i="58" s="1"/>
  <c r="H18" i="58"/>
  <c r="H170" i="58" s="1"/>
  <c r="J170" i="58" s="1"/>
  <c r="V17" i="58"/>
  <c r="X17" i="58" s="1"/>
  <c r="Z17" i="58" s="1"/>
  <c r="N17" i="58"/>
  <c r="J17" i="58"/>
  <c r="K17" i="58" s="1"/>
  <c r="V16" i="58"/>
  <c r="X16" i="58" s="1"/>
  <c r="Z16" i="58" s="1"/>
  <c r="N16" i="58"/>
  <c r="J16" i="58"/>
  <c r="V15" i="58"/>
  <c r="X15" i="58" s="1"/>
  <c r="Z15" i="58" s="1"/>
  <c r="N15" i="58"/>
  <c r="N167" i="58" s="1"/>
  <c r="J15" i="58"/>
  <c r="V14" i="58"/>
  <c r="X14" i="58" s="1"/>
  <c r="Z14" i="58" s="1"/>
  <c r="M14" i="58"/>
  <c r="M166" i="58" s="1"/>
  <c r="K14" i="58"/>
  <c r="K166" i="58" s="1"/>
  <c r="L166" i="58" s="1"/>
  <c r="J14" i="58"/>
  <c r="V13" i="58"/>
  <c r="X13" i="58" s="1"/>
  <c r="Z13" i="58" s="1"/>
  <c r="M13" i="58"/>
  <c r="M165" i="58" s="1"/>
  <c r="K13" i="58"/>
  <c r="J13" i="58"/>
  <c r="V12" i="58"/>
  <c r="X12" i="58" s="1"/>
  <c r="Z12" i="58" s="1"/>
  <c r="K12" i="58"/>
  <c r="K164" i="58" s="1"/>
  <c r="J12" i="58"/>
  <c r="X11" i="58"/>
  <c r="Z11" i="58" s="1"/>
  <c r="V11" i="58"/>
  <c r="M11" i="58"/>
  <c r="M163" i="58" s="1"/>
  <c r="K11" i="58"/>
  <c r="K163" i="58" s="1"/>
  <c r="J11" i="58"/>
  <c r="L11" i="58" s="1"/>
  <c r="N11" i="58" s="1"/>
  <c r="N163" i="58" s="1"/>
  <c r="Y10" i="58"/>
  <c r="W10" i="58"/>
  <c r="W9" i="58" s="1"/>
  <c r="U10" i="58"/>
  <c r="T10" i="58"/>
  <c r="T9" i="58" s="1"/>
  <c r="S10" i="58"/>
  <c r="S9" i="58" s="1"/>
  <c r="S8" i="58" s="1"/>
  <c r="R10" i="58"/>
  <c r="R9" i="58" s="1"/>
  <c r="Q10" i="58"/>
  <c r="P10" i="58"/>
  <c r="P9" i="58" s="1"/>
  <c r="P8" i="58" s="1"/>
  <c r="P36" i="58" s="1"/>
  <c r="O10" i="58"/>
  <c r="O9" i="58" s="1"/>
  <c r="O8" i="58" s="1"/>
  <c r="M10" i="58"/>
  <c r="I10" i="58"/>
  <c r="I9" i="58" s="1"/>
  <c r="I8" i="58" s="1"/>
  <c r="H10" i="58"/>
  <c r="H9" i="58" s="1"/>
  <c r="H8" i="58" s="1"/>
  <c r="Y9" i="58"/>
  <c r="Y8" i="58" s="1"/>
  <c r="U9" i="58"/>
  <c r="U8" i="58" s="1"/>
  <c r="Q9" i="58"/>
  <c r="Q8" i="58" s="1"/>
  <c r="Q36" i="58" s="1"/>
  <c r="M9" i="58"/>
  <c r="M8" i="58" s="1"/>
  <c r="G9" i="58"/>
  <c r="G8" i="58"/>
  <c r="F8" i="58"/>
  <c r="E27" i="70" l="1"/>
  <c r="E31" i="70" s="1"/>
  <c r="AC27" i="70"/>
  <c r="AC31" i="70" s="1"/>
  <c r="AM26" i="70"/>
  <c r="AO26" i="70" s="1"/>
  <c r="H17" i="70"/>
  <c r="H19" i="70" s="1"/>
  <c r="L17" i="70"/>
  <c r="L19" i="70" s="1"/>
  <c r="L32" i="70" s="1"/>
  <c r="P17" i="70"/>
  <c r="P19" i="70" s="1"/>
  <c r="T17" i="70"/>
  <c r="T19" i="70" s="1"/>
  <c r="T32" i="70" s="1"/>
  <c r="T35" i="70" s="1"/>
  <c r="AC17" i="70"/>
  <c r="AC19" i="70" s="1"/>
  <c r="AC32" i="70" s="1"/>
  <c r="AG17" i="70"/>
  <c r="AG19" i="70" s="1"/>
  <c r="AG32" i="70" s="1"/>
  <c r="AK17" i="70"/>
  <c r="AK19" i="70" s="1"/>
  <c r="S14" i="70"/>
  <c r="U14" i="70" s="1"/>
  <c r="G20" i="70"/>
  <c r="G27" i="70" s="1"/>
  <c r="G31" i="70" s="1"/>
  <c r="I31" i="70" s="1"/>
  <c r="K27" i="70"/>
  <c r="K31" i="70" s="1"/>
  <c r="K32" i="70" s="1"/>
  <c r="O27" i="70"/>
  <c r="O31" i="70" s="1"/>
  <c r="S20" i="70"/>
  <c r="S27" i="70" s="1"/>
  <c r="S31" i="70" s="1"/>
  <c r="AM21" i="70"/>
  <c r="AM27" i="70" s="1"/>
  <c r="C32" i="70"/>
  <c r="AA17" i="70"/>
  <c r="AO17" i="70"/>
  <c r="AO19" i="70" s="1"/>
  <c r="AH32" i="70"/>
  <c r="AL32" i="70"/>
  <c r="I17" i="70"/>
  <c r="I32" i="70" s="1"/>
  <c r="M17" i="70"/>
  <c r="M19" i="70" s="1"/>
  <c r="M32" i="70" s="1"/>
  <c r="M35" i="70" s="1"/>
  <c r="AN31" i="70"/>
  <c r="AN32" i="70" s="1"/>
  <c r="K17" i="70"/>
  <c r="K19" i="70" s="1"/>
  <c r="O17" i="70"/>
  <c r="O19" i="70" s="1"/>
  <c r="S9" i="70"/>
  <c r="AJ17" i="70"/>
  <c r="AJ19" i="70" s="1"/>
  <c r="H27" i="70"/>
  <c r="H31" i="70" s="1"/>
  <c r="L27" i="70"/>
  <c r="L31" i="70" s="1"/>
  <c r="P27" i="70"/>
  <c r="P31" i="70" s="1"/>
  <c r="P32" i="70" s="1"/>
  <c r="P35" i="70" s="1"/>
  <c r="Y17" i="70"/>
  <c r="Y19" i="70" s="1"/>
  <c r="Y32" i="70" s="1"/>
  <c r="AM11" i="70"/>
  <c r="AO11" i="70" s="1"/>
  <c r="AM12" i="70"/>
  <c r="AO12" i="70" s="1"/>
  <c r="AE27" i="70"/>
  <c r="AE31" i="70" s="1"/>
  <c r="AE32" i="70" s="1"/>
  <c r="AI27" i="70"/>
  <c r="AI31" i="70" s="1"/>
  <c r="AI32" i="70" s="1"/>
  <c r="AN27" i="70"/>
  <c r="X32" i="70"/>
  <c r="J32" i="70"/>
  <c r="J19" i="70"/>
  <c r="N32" i="70"/>
  <c r="N35" i="70" s="1"/>
  <c r="AR23" i="70"/>
  <c r="AP19" i="70"/>
  <c r="I19" i="70"/>
  <c r="Z32" i="70"/>
  <c r="AQ18" i="70"/>
  <c r="O32" i="70"/>
  <c r="O35" i="70" s="1"/>
  <c r="S17" i="70"/>
  <c r="S19" i="70" s="1"/>
  <c r="S32" i="70" s="1"/>
  <c r="S35" i="70" s="1"/>
  <c r="AF32" i="70"/>
  <c r="AQ30" i="70"/>
  <c r="H32" i="70"/>
  <c r="AO21" i="70"/>
  <c r="AO27" i="70" s="1"/>
  <c r="AJ31" i="70"/>
  <c r="AJ32" i="70" s="1"/>
  <c r="E17" i="70"/>
  <c r="Q17" i="70"/>
  <c r="Q19" i="70" s="1"/>
  <c r="Q32" i="70" s="1"/>
  <c r="Q35" i="70" s="1"/>
  <c r="AM17" i="70"/>
  <c r="AM19" i="70" s="1"/>
  <c r="D19" i="70"/>
  <c r="AK30" i="70"/>
  <c r="U9" i="70"/>
  <c r="U17" i="70" s="1"/>
  <c r="U19" i="70" s="1"/>
  <c r="U20" i="70"/>
  <c r="U27" i="70" s="1"/>
  <c r="U31" i="70" s="1"/>
  <c r="F19" i="70"/>
  <c r="H22" i="68"/>
  <c r="H27" i="68"/>
  <c r="E27" i="68"/>
  <c r="F24" i="68"/>
  <c r="E6" i="68"/>
  <c r="D27" i="68"/>
  <c r="D29" i="68" s="1"/>
  <c r="R23" i="67"/>
  <c r="R26" i="67" s="1"/>
  <c r="J23" i="67"/>
  <c r="X22" i="67"/>
  <c r="X23" i="67" s="1"/>
  <c r="X26" i="67" s="1"/>
  <c r="V23" i="67"/>
  <c r="V26" i="67" s="1"/>
  <c r="H23" i="67"/>
  <c r="T23" i="67"/>
  <c r="T26" i="67" s="1"/>
  <c r="L9" i="67"/>
  <c r="L23" i="67" s="1"/>
  <c r="O23" i="66"/>
  <c r="W23" i="66"/>
  <c r="W26" i="66" s="1"/>
  <c r="Y23" i="66"/>
  <c r="Y26" i="66" s="1"/>
  <c r="AA10" i="66"/>
  <c r="AA23" i="66" s="1"/>
  <c r="AA26" i="66" s="1"/>
  <c r="Y11" i="66"/>
  <c r="AA11" i="66" s="1"/>
  <c r="U92" i="65"/>
  <c r="O92" i="65"/>
  <c r="S92" i="65"/>
  <c r="I79" i="65"/>
  <c r="T88" i="65"/>
  <c r="T94" i="65" s="1"/>
  <c r="T58" i="65"/>
  <c r="T92" i="65" s="1"/>
  <c r="J70" i="65"/>
  <c r="I70" i="65" s="1"/>
  <c r="Q88" i="65"/>
  <c r="Q94" i="65" s="1"/>
  <c r="N92" i="65"/>
  <c r="R92" i="65"/>
  <c r="W92" i="65"/>
  <c r="W88" i="65"/>
  <c r="W94" i="65" s="1"/>
  <c r="V70" i="65"/>
  <c r="X62" i="65"/>
  <c r="X70" i="65" s="1"/>
  <c r="J88" i="65"/>
  <c r="L70" i="65"/>
  <c r="T70" i="65"/>
  <c r="V85" i="65"/>
  <c r="X85" i="65" s="1"/>
  <c r="V84" i="65"/>
  <c r="V11" i="65"/>
  <c r="V74" i="65"/>
  <c r="U34" i="63"/>
  <c r="K13" i="63"/>
  <c r="M13" i="63"/>
  <c r="W14" i="63"/>
  <c r="Y14" i="63" s="1"/>
  <c r="Y34" i="63" s="1"/>
  <c r="K15" i="63"/>
  <c r="M15" i="63" s="1"/>
  <c r="Z43" i="62"/>
  <c r="Z42" i="62" s="1"/>
  <c r="X42" i="62"/>
  <c r="G50" i="62"/>
  <c r="O58" i="62"/>
  <c r="O59" i="62" s="1"/>
  <c r="S50" i="62"/>
  <c r="H50" i="62"/>
  <c r="J50" i="62" s="1"/>
  <c r="T41" i="62"/>
  <c r="T50" i="62" s="1"/>
  <c r="T58" i="62" s="1"/>
  <c r="T59" i="62" s="1"/>
  <c r="P50" i="62"/>
  <c r="P58" i="62" s="1"/>
  <c r="P59" i="62" s="1"/>
  <c r="N43" i="62"/>
  <c r="N42" i="62" s="1"/>
  <c r="X46" i="62"/>
  <c r="X53" i="62"/>
  <c r="Z53" i="62" s="1"/>
  <c r="I58" i="62"/>
  <c r="I59" i="62" s="1"/>
  <c r="J11" i="62"/>
  <c r="N16" i="62"/>
  <c r="L41" i="62"/>
  <c r="L50" i="62" s="1"/>
  <c r="Z51" i="62"/>
  <c r="X8" i="62"/>
  <c r="Z8" i="62" s="1"/>
  <c r="Q50" i="62"/>
  <c r="N46" i="62"/>
  <c r="N45" i="62" s="1"/>
  <c r="Z41" i="62"/>
  <c r="X9" i="62"/>
  <c r="Z9" i="62" s="1"/>
  <c r="V6" i="62"/>
  <c r="X12" i="62"/>
  <c r="V11" i="62"/>
  <c r="V26" i="62" s="1"/>
  <c r="V58" i="62" s="1"/>
  <c r="V59" i="62" s="1"/>
  <c r="V41" i="62"/>
  <c r="V50" i="62" s="1"/>
  <c r="H58" i="62"/>
  <c r="H59" i="62" s="1"/>
  <c r="L51" i="62"/>
  <c r="N52" i="62"/>
  <c r="N51" i="62" s="1"/>
  <c r="Z7" i="62"/>
  <c r="L16" i="62"/>
  <c r="L11" i="62" s="1"/>
  <c r="L26" i="62" s="1"/>
  <c r="N26" i="62" s="1"/>
  <c r="L22" i="62"/>
  <c r="N22" i="62" s="1"/>
  <c r="J41" i="62"/>
  <c r="R50" i="62"/>
  <c r="R58" i="62" s="1"/>
  <c r="R59" i="62" s="1"/>
  <c r="K58" i="62"/>
  <c r="K59" i="62" s="1"/>
  <c r="Q58" i="62"/>
  <c r="Q59" i="62" s="1"/>
  <c r="U58" i="62"/>
  <c r="U59" i="62" s="1"/>
  <c r="L7" i="62"/>
  <c r="J6" i="62"/>
  <c r="N12" i="62"/>
  <c r="N11" i="62" s="1"/>
  <c r="X41" i="62"/>
  <c r="Z46" i="62"/>
  <c r="Z45" i="62" s="1"/>
  <c r="X45" i="62"/>
  <c r="M58" i="62"/>
  <c r="M59" i="62" s="1"/>
  <c r="W58" i="62"/>
  <c r="W59" i="62" s="1"/>
  <c r="J16" i="62"/>
  <c r="J22" i="62"/>
  <c r="J26" i="62" s="1"/>
  <c r="N28" i="62"/>
  <c r="N41" i="62" s="1"/>
  <c r="N50" i="62" s="1"/>
  <c r="Y50" i="62"/>
  <c r="Y58" i="62" s="1"/>
  <c r="Y59" i="62" s="1"/>
  <c r="G58" i="62"/>
  <c r="G59" i="62" s="1"/>
  <c r="S58" i="62"/>
  <c r="S59" i="62" s="1"/>
  <c r="J51" i="62"/>
  <c r="X55" i="62"/>
  <c r="X51" i="62"/>
  <c r="R31" i="61"/>
  <c r="J152" i="61"/>
  <c r="S109" i="61"/>
  <c r="Q135" i="61"/>
  <c r="K21" i="61"/>
  <c r="M21" i="61" s="1"/>
  <c r="L57" i="61"/>
  <c r="P155" i="61"/>
  <c r="U75" i="61"/>
  <c r="J113" i="61"/>
  <c r="T144" i="61"/>
  <c r="T139" i="61" s="1"/>
  <c r="T163" i="61" s="1"/>
  <c r="U149" i="61"/>
  <c r="W149" i="61" s="1"/>
  <c r="Y149" i="61" s="1"/>
  <c r="U152" i="61"/>
  <c r="W152" i="61" s="1"/>
  <c r="Y152" i="61" s="1"/>
  <c r="F150" i="61"/>
  <c r="R83" i="61"/>
  <c r="U101" i="61"/>
  <c r="H156" i="61"/>
  <c r="I156" i="61" s="1"/>
  <c r="H131" i="61"/>
  <c r="I131" i="61" s="1"/>
  <c r="N144" i="61"/>
  <c r="W158" i="61"/>
  <c r="O157" i="61"/>
  <c r="U161" i="61"/>
  <c r="W161" i="61" s="1"/>
  <c r="Y161" i="61" s="1"/>
  <c r="K16" i="61"/>
  <c r="M16" i="61" s="1"/>
  <c r="F83" i="61"/>
  <c r="N109" i="61"/>
  <c r="K115" i="61"/>
  <c r="M115" i="61" s="1"/>
  <c r="U141" i="61"/>
  <c r="W141" i="61" s="1"/>
  <c r="Y141" i="61" s="1"/>
  <c r="R144" i="61"/>
  <c r="R139" i="61" s="1"/>
  <c r="X144" i="61"/>
  <c r="X139" i="61" s="1"/>
  <c r="U146" i="61"/>
  <c r="W146" i="61" s="1"/>
  <c r="Y146" i="61" s="1"/>
  <c r="U154" i="61"/>
  <c r="V31" i="61"/>
  <c r="Y22" i="61"/>
  <c r="U131" i="61"/>
  <c r="F163" i="61"/>
  <c r="P31" i="61"/>
  <c r="T31" i="61"/>
  <c r="L142" i="61"/>
  <c r="I46" i="61"/>
  <c r="K46" i="61" s="1"/>
  <c r="P57" i="61"/>
  <c r="Q83" i="61"/>
  <c r="H92" i="61"/>
  <c r="I92" i="61" s="1"/>
  <c r="K92" i="61" s="1"/>
  <c r="F135" i="61"/>
  <c r="H127" i="61"/>
  <c r="I127" i="61" s="1"/>
  <c r="U127" i="61"/>
  <c r="I130" i="61"/>
  <c r="W133" i="61"/>
  <c r="Y133" i="61" s="1"/>
  <c r="U145" i="61"/>
  <c r="U147" i="61"/>
  <c r="W147" i="61" s="1"/>
  <c r="Y147" i="61" s="1"/>
  <c r="N57" i="61"/>
  <c r="N139" i="61"/>
  <c r="N163" i="61" s="1"/>
  <c r="O144" i="61"/>
  <c r="J142" i="61"/>
  <c r="K142" i="61" s="1"/>
  <c r="M142" i="61" s="1"/>
  <c r="I13" i="61"/>
  <c r="I8" i="61" s="1"/>
  <c r="I19" i="61"/>
  <c r="Y26" i="61"/>
  <c r="I160" i="61"/>
  <c r="K160" i="61" s="1"/>
  <c r="M160" i="61" s="1"/>
  <c r="H49" i="61"/>
  <c r="H46" i="61" s="1"/>
  <c r="R57" i="61"/>
  <c r="O83" i="61"/>
  <c r="X83" i="61"/>
  <c r="F109" i="61"/>
  <c r="Q109" i="61"/>
  <c r="Y142" i="61"/>
  <c r="S144" i="61"/>
  <c r="S139" i="61" s="1"/>
  <c r="V157" i="61"/>
  <c r="K9" i="61"/>
  <c r="M9" i="61" s="1"/>
  <c r="K10" i="61"/>
  <c r="M10" i="61" s="1"/>
  <c r="K11" i="61"/>
  <c r="M11" i="61" s="1"/>
  <c r="X31" i="61"/>
  <c r="K20" i="61"/>
  <c r="U22" i="61"/>
  <c r="I61" i="61"/>
  <c r="K61" i="61" s="1"/>
  <c r="M61" i="61" s="1"/>
  <c r="E83" i="61"/>
  <c r="K116" i="61"/>
  <c r="I132" i="61"/>
  <c r="P144" i="61"/>
  <c r="P139" i="61" s="1"/>
  <c r="V144" i="61"/>
  <c r="G144" i="61"/>
  <c r="G139" i="61" s="1"/>
  <c r="N150" i="61"/>
  <c r="G150" i="61"/>
  <c r="R157" i="61"/>
  <c r="Y14" i="61"/>
  <c r="Y13" i="61" s="1"/>
  <c r="W13" i="61"/>
  <c r="J148" i="61"/>
  <c r="K17" i="61"/>
  <c r="M17" i="61" s="1"/>
  <c r="M13" i="61" s="1"/>
  <c r="M20" i="61"/>
  <c r="L161" i="61"/>
  <c r="L26" i="61"/>
  <c r="Y74" i="61"/>
  <c r="W89" i="61"/>
  <c r="Y89" i="61" s="1"/>
  <c r="N31" i="61"/>
  <c r="U13" i="61"/>
  <c r="U8" i="61" s="1"/>
  <c r="L151" i="61"/>
  <c r="L150" i="61" s="1"/>
  <c r="L19" i="61"/>
  <c r="W22" i="61"/>
  <c r="W19" i="61" s="1"/>
  <c r="J27" i="61"/>
  <c r="H40" i="61"/>
  <c r="T155" i="61"/>
  <c r="T153" i="61" s="1"/>
  <c r="T150" i="61" s="1"/>
  <c r="T57" i="61"/>
  <c r="W63" i="61"/>
  <c r="Y63" i="61" s="1"/>
  <c r="H66" i="61"/>
  <c r="I66" i="61" s="1"/>
  <c r="I67" i="61"/>
  <c r="S83" i="61"/>
  <c r="W75" i="61"/>
  <c r="W72" i="61" s="1"/>
  <c r="Y75" i="61"/>
  <c r="H79" i="61"/>
  <c r="I79" i="61" s="1"/>
  <c r="I81" i="61"/>
  <c r="I102" i="61"/>
  <c r="K102" i="61" s="1"/>
  <c r="H101" i="61"/>
  <c r="F31" i="61"/>
  <c r="W9" i="61"/>
  <c r="K13" i="61"/>
  <c r="O31" i="61"/>
  <c r="S31" i="61"/>
  <c r="V57" i="61"/>
  <c r="U49" i="61"/>
  <c r="U46" i="61" s="1"/>
  <c r="W51" i="61"/>
  <c r="Y51" i="61" s="1"/>
  <c r="Y49" i="61" s="1"/>
  <c r="Y20" i="61"/>
  <c r="K22" i="61"/>
  <c r="M22" i="61" s="1"/>
  <c r="W26" i="61"/>
  <c r="K26" i="61"/>
  <c r="M30" i="61"/>
  <c r="M26" i="61" s="1"/>
  <c r="W39" i="61"/>
  <c r="Y39" i="61" s="1"/>
  <c r="W47" i="61"/>
  <c r="X155" i="61"/>
  <c r="X153" i="61" s="1"/>
  <c r="X150" i="61" s="1"/>
  <c r="X57" i="61"/>
  <c r="Y53" i="61"/>
  <c r="W55" i="61"/>
  <c r="Y55" i="61" s="1"/>
  <c r="U53" i="61"/>
  <c r="W66" i="61"/>
  <c r="U66" i="61"/>
  <c r="U61" i="61" s="1"/>
  <c r="W68" i="61"/>
  <c r="Y68" i="61" s="1"/>
  <c r="Y66" i="61" s="1"/>
  <c r="I76" i="61"/>
  <c r="H75" i="61"/>
  <c r="V83" i="61"/>
  <c r="U79" i="61"/>
  <c r="W82" i="61"/>
  <c r="Y82" i="61" s="1"/>
  <c r="X109" i="61"/>
  <c r="U105" i="61"/>
  <c r="W106" i="61"/>
  <c r="H149" i="61"/>
  <c r="I149" i="61" s="1"/>
  <c r="K149" i="61" s="1"/>
  <c r="M149" i="61" s="1"/>
  <c r="I123" i="61"/>
  <c r="J144" i="61"/>
  <c r="W145" i="61"/>
  <c r="U144" i="61"/>
  <c r="J13" i="61"/>
  <c r="J8" i="61" s="1"/>
  <c r="H53" i="61"/>
  <c r="I53" i="61" s="1"/>
  <c r="J53" i="61" s="1"/>
  <c r="Q155" i="61"/>
  <c r="Q153" i="61" s="1"/>
  <c r="Q150" i="61" s="1"/>
  <c r="Q57" i="61"/>
  <c r="G83" i="61"/>
  <c r="U72" i="61"/>
  <c r="P83" i="61"/>
  <c r="T83" i="61"/>
  <c r="J109" i="61"/>
  <c r="Y99" i="61"/>
  <c r="Y98" i="61" s="1"/>
  <c r="W100" i="61"/>
  <c r="Y100" i="61" s="1"/>
  <c r="U98" i="61"/>
  <c r="W101" i="61"/>
  <c r="I140" i="61"/>
  <c r="K114" i="61"/>
  <c r="M114" i="61" s="1"/>
  <c r="O135" i="61"/>
  <c r="S135" i="61"/>
  <c r="U162" i="61"/>
  <c r="R109" i="61"/>
  <c r="U40" i="61"/>
  <c r="U35" i="61" s="1"/>
  <c r="I47" i="61"/>
  <c r="K47" i="61" s="1"/>
  <c r="M47" i="61" s="1"/>
  <c r="Y80" i="61"/>
  <c r="P109" i="61"/>
  <c r="T109" i="61"/>
  <c r="H158" i="61"/>
  <c r="J135" i="61"/>
  <c r="H145" i="61"/>
  <c r="H118" i="61"/>
  <c r="I119" i="61"/>
  <c r="U118" i="61"/>
  <c r="U113" i="61" s="1"/>
  <c r="W120" i="61"/>
  <c r="J151" i="61"/>
  <c r="K151" i="61" s="1"/>
  <c r="K125" i="61"/>
  <c r="K124" i="61" s="1"/>
  <c r="P153" i="61"/>
  <c r="P150" i="61" s="1"/>
  <c r="U159" i="61"/>
  <c r="W159" i="61" s="1"/>
  <c r="Y159" i="61" s="1"/>
  <c r="S157" i="61"/>
  <c r="L13" i="61"/>
  <c r="L144" i="61" s="1"/>
  <c r="L139" i="61" s="1"/>
  <c r="Q144" i="61"/>
  <c r="U19" i="61"/>
  <c r="H26" i="61"/>
  <c r="H31" i="61" s="1"/>
  <c r="I28" i="61"/>
  <c r="J28" i="61" s="1"/>
  <c r="I29" i="61"/>
  <c r="J29" i="61" s="1"/>
  <c r="G57" i="61"/>
  <c r="W41" i="61"/>
  <c r="I49" i="61"/>
  <c r="J49" i="61" s="1"/>
  <c r="J153" i="61" s="1"/>
  <c r="O155" i="61"/>
  <c r="O153" i="61" s="1"/>
  <c r="O150" i="61" s="1"/>
  <c r="O57" i="61"/>
  <c r="S155" i="61"/>
  <c r="S57" i="61"/>
  <c r="W53" i="61"/>
  <c r="W61" i="61"/>
  <c r="H87" i="61"/>
  <c r="U92" i="61"/>
  <c r="U87" i="61" s="1"/>
  <c r="W93" i="61"/>
  <c r="H105" i="61"/>
  <c r="I105" i="61" s="1"/>
  <c r="K105" i="61" s="1"/>
  <c r="V109" i="61"/>
  <c r="W114" i="61"/>
  <c r="H143" i="61"/>
  <c r="I143" i="61" s="1"/>
  <c r="H147" i="61"/>
  <c r="I147" i="61" s="1"/>
  <c r="K147" i="61" s="1"/>
  <c r="M147" i="61" s="1"/>
  <c r="I121" i="61"/>
  <c r="E153" i="61"/>
  <c r="E150" i="61" s="1"/>
  <c r="E124" i="61"/>
  <c r="E135" i="61" s="1"/>
  <c r="Y128" i="61"/>
  <c r="Y127" i="61" s="1"/>
  <c r="Y124" i="61" s="1"/>
  <c r="W127" i="61"/>
  <c r="W124" i="61" s="1"/>
  <c r="P135" i="61"/>
  <c r="T135" i="61"/>
  <c r="Q157" i="61"/>
  <c r="Q163" i="61" s="1"/>
  <c r="Y158" i="61"/>
  <c r="R155" i="61"/>
  <c r="R153" i="61" s="1"/>
  <c r="R150" i="61" s="1"/>
  <c r="V155" i="61"/>
  <c r="V153" i="61" s="1"/>
  <c r="V150" i="61" s="1"/>
  <c r="G135" i="61"/>
  <c r="J140" i="61"/>
  <c r="J141" i="61"/>
  <c r="K141" i="61" s="1"/>
  <c r="M141" i="61" s="1"/>
  <c r="U124" i="61"/>
  <c r="H154" i="61"/>
  <c r="I154" i="61" s="1"/>
  <c r="K154" i="61" s="1"/>
  <c r="M154" i="61" s="1"/>
  <c r="V135" i="61"/>
  <c r="O139" i="61"/>
  <c r="U140" i="61"/>
  <c r="G157" i="61"/>
  <c r="H146" i="61"/>
  <c r="I146" i="61" s="1"/>
  <c r="K146" i="61" s="1"/>
  <c r="M146" i="61" s="1"/>
  <c r="H148" i="61"/>
  <c r="I148" i="61" s="1"/>
  <c r="H152" i="61"/>
  <c r="I152" i="61" s="1"/>
  <c r="K152" i="61" s="1"/>
  <c r="M152" i="61" s="1"/>
  <c r="H155" i="61"/>
  <c r="I155" i="61" s="1"/>
  <c r="R135" i="61"/>
  <c r="X135" i="61"/>
  <c r="H161" i="61"/>
  <c r="I161" i="61" s="1"/>
  <c r="K161" i="61" s="1"/>
  <c r="M161" i="61" s="1"/>
  <c r="K143" i="61"/>
  <c r="M143" i="61" s="1"/>
  <c r="E144" i="61"/>
  <c r="E139" i="61" s="1"/>
  <c r="U151" i="61"/>
  <c r="W154" i="61"/>
  <c r="I120" i="61"/>
  <c r="I122" i="61"/>
  <c r="I126" i="61"/>
  <c r="Y132" i="61"/>
  <c r="W131" i="61"/>
  <c r="Q139" i="61"/>
  <c r="V139" i="61"/>
  <c r="F157" i="61"/>
  <c r="P126" i="58"/>
  <c r="V9" i="58"/>
  <c r="T8" i="58"/>
  <c r="T36" i="58" s="1"/>
  <c r="X132" i="58"/>
  <c r="Z133" i="58"/>
  <c r="Z132" i="58" s="1"/>
  <c r="F66" i="58"/>
  <c r="L153" i="58"/>
  <c r="N153" i="58" s="1"/>
  <c r="N156" i="58" s="1"/>
  <c r="V10" i="58"/>
  <c r="L12" i="58"/>
  <c r="N12" i="58" s="1"/>
  <c r="N164" i="58" s="1"/>
  <c r="J18" i="58"/>
  <c r="L18" i="58" s="1"/>
  <c r="N18" i="58" s="1"/>
  <c r="G36" i="58"/>
  <c r="J66" i="58"/>
  <c r="Q66" i="58"/>
  <c r="S70" i="58"/>
  <c r="W70" i="58"/>
  <c r="Y96" i="58"/>
  <c r="I96" i="58"/>
  <c r="J96" i="58" s="1"/>
  <c r="L96" i="58" s="1"/>
  <c r="N96" i="58" s="1"/>
  <c r="U126" i="58"/>
  <c r="L125" i="58"/>
  <c r="V132" i="58"/>
  <c r="O173" i="58"/>
  <c r="O160" i="58" s="1"/>
  <c r="S173" i="58"/>
  <c r="P178" i="58"/>
  <c r="W184" i="58"/>
  <c r="T126" i="58"/>
  <c r="U36" i="58"/>
  <c r="R8" i="58"/>
  <c r="R36" i="58" s="1"/>
  <c r="W8" i="58"/>
  <c r="L164" i="58"/>
  <c r="L170" i="58"/>
  <c r="O36" i="58"/>
  <c r="R40" i="58"/>
  <c r="M63" i="58"/>
  <c r="M66" i="58" s="1"/>
  <c r="R70" i="58"/>
  <c r="R96" i="58" s="1"/>
  <c r="X101" i="58"/>
  <c r="Z101" i="58" s="1"/>
  <c r="M126" i="58"/>
  <c r="O156" i="58"/>
  <c r="S162" i="58"/>
  <c r="S161" i="58" s="1"/>
  <c r="S160" i="58" s="1"/>
  <c r="X170" i="58"/>
  <c r="Z170" i="58" s="1"/>
  <c r="R173" i="58"/>
  <c r="I190" i="58"/>
  <c r="Y36" i="58"/>
  <c r="S36" i="58"/>
  <c r="V32" i="58"/>
  <c r="P66" i="58"/>
  <c r="Y66" i="58"/>
  <c r="H66" i="58"/>
  <c r="Q96" i="58"/>
  <c r="U96" i="58"/>
  <c r="L100" i="58"/>
  <c r="N100" i="58" s="1"/>
  <c r="G126" i="58"/>
  <c r="V153" i="58"/>
  <c r="Q162" i="58"/>
  <c r="Q161" i="58" s="1"/>
  <c r="Q160" i="58" s="1"/>
  <c r="Q190" i="58" s="1"/>
  <c r="Q193" i="58" s="1"/>
  <c r="U162" i="58"/>
  <c r="U161" i="58" s="1"/>
  <c r="U160" i="58" s="1"/>
  <c r="P162" i="58"/>
  <c r="V166" i="58"/>
  <c r="X166" i="58" s="1"/>
  <c r="Z166" i="58" s="1"/>
  <c r="V171" i="58"/>
  <c r="X171" i="58" s="1"/>
  <c r="Z171" i="58" s="1"/>
  <c r="U178" i="58"/>
  <c r="R178" i="58"/>
  <c r="V181" i="58"/>
  <c r="V182" i="58"/>
  <c r="X182" i="58" s="1"/>
  <c r="Z182" i="58" s="1"/>
  <c r="R184" i="58"/>
  <c r="L40" i="58"/>
  <c r="K40" i="58" s="1"/>
  <c r="K66" i="58" s="1"/>
  <c r="L41" i="58"/>
  <c r="N50" i="58"/>
  <c r="N40" i="58" s="1"/>
  <c r="V58" i="58"/>
  <c r="X62" i="58"/>
  <c r="O66" i="58"/>
  <c r="S66" i="58"/>
  <c r="L63" i="58"/>
  <c r="N65" i="58"/>
  <c r="N63" i="58" s="1"/>
  <c r="W156" i="58"/>
  <c r="X174" i="58"/>
  <c r="J8" i="58"/>
  <c r="V21" i="58"/>
  <c r="M26" i="58"/>
  <c r="M36" i="58" s="1"/>
  <c r="X27" i="58"/>
  <c r="V26" i="58"/>
  <c r="K26" i="58"/>
  <c r="F36" i="58"/>
  <c r="J36" i="58"/>
  <c r="X32" i="58"/>
  <c r="V53" i="58"/>
  <c r="X54" i="58"/>
  <c r="R66" i="58"/>
  <c r="T71" i="58"/>
  <c r="W96" i="58"/>
  <c r="R126" i="58"/>
  <c r="Y126" i="58"/>
  <c r="T130" i="58"/>
  <c r="P161" i="58"/>
  <c r="P160" i="58" s="1"/>
  <c r="P190" i="58" s="1"/>
  <c r="P193" i="58" s="1"/>
  <c r="V164" i="58"/>
  <c r="X164" i="58" s="1"/>
  <c r="Z164" i="58" s="1"/>
  <c r="T162" i="58"/>
  <c r="T161" i="58" s="1"/>
  <c r="K165" i="58"/>
  <c r="L165" i="58" s="1"/>
  <c r="L13" i="58"/>
  <c r="N13" i="58" s="1"/>
  <c r="N165" i="58" s="1"/>
  <c r="X9" i="58"/>
  <c r="W36" i="58"/>
  <c r="S40" i="58"/>
  <c r="U66" i="58"/>
  <c r="X64" i="58"/>
  <c r="V63" i="58"/>
  <c r="S96" i="58"/>
  <c r="X131" i="58"/>
  <c r="Z131" i="58" s="1"/>
  <c r="K10" i="58"/>
  <c r="K9" i="58" s="1"/>
  <c r="K8" i="58" s="1"/>
  <c r="X10" i="58"/>
  <c r="Z10" i="58" s="1"/>
  <c r="L14" i="58"/>
  <c r="N14" i="58" s="1"/>
  <c r="N166" i="58" s="1"/>
  <c r="Z23" i="58"/>
  <c r="Z21" i="58" s="1"/>
  <c r="X21" i="58"/>
  <c r="H36" i="58"/>
  <c r="V41" i="58"/>
  <c r="T40" i="58"/>
  <c r="T66" i="58" s="1"/>
  <c r="W66" i="58"/>
  <c r="I126" i="58"/>
  <c r="J100" i="58"/>
  <c r="J126" i="58" s="1"/>
  <c r="Q126" i="58"/>
  <c r="L123" i="58"/>
  <c r="N125" i="58"/>
  <c r="N187" i="58" s="1"/>
  <c r="N184" i="58" s="1"/>
  <c r="J171" i="58"/>
  <c r="L171" i="58" s="1"/>
  <c r="F190" i="58"/>
  <c r="L185" i="58"/>
  <c r="K162" i="58"/>
  <c r="L163" i="58"/>
  <c r="J26" i="58"/>
  <c r="K32" i="58"/>
  <c r="V123" i="58"/>
  <c r="V143" i="58"/>
  <c r="H156" i="58"/>
  <c r="J156" i="58" s="1"/>
  <c r="S156" i="58"/>
  <c r="Y156" i="58"/>
  <c r="Y160" i="58"/>
  <c r="J167" i="58"/>
  <c r="L167" i="58" s="1"/>
  <c r="H162" i="58"/>
  <c r="Z176" i="58"/>
  <c r="X181" i="58"/>
  <c r="Z181" i="58" s="1"/>
  <c r="X183" i="58"/>
  <c r="Z183" i="58" s="1"/>
  <c r="W190" i="58"/>
  <c r="H184" i="58"/>
  <c r="J187" i="58"/>
  <c r="J184" i="58" s="1"/>
  <c r="U184" i="58"/>
  <c r="U190" i="58" s="1"/>
  <c r="U189" i="58"/>
  <c r="V189" i="58" s="1"/>
  <c r="X189" i="58" s="1"/>
  <c r="Z189" i="58" s="1"/>
  <c r="S126" i="58"/>
  <c r="W126" i="58"/>
  <c r="X153" i="58"/>
  <c r="Z153" i="58" s="1"/>
  <c r="K187" i="58"/>
  <c r="L156" i="58"/>
  <c r="T173" i="58"/>
  <c r="V175" i="58"/>
  <c r="X175" i="58" s="1"/>
  <c r="Z175" i="58" s="1"/>
  <c r="G190" i="58"/>
  <c r="M162" i="58"/>
  <c r="M161" i="58"/>
  <c r="M160" i="58" s="1"/>
  <c r="M190" i="58" s="1"/>
  <c r="V93" i="58"/>
  <c r="X93" i="58" s="1"/>
  <c r="Z93" i="58" s="1"/>
  <c r="Z145" i="58"/>
  <c r="Z143" i="58" s="1"/>
  <c r="X143" i="58"/>
  <c r="Q156" i="58"/>
  <c r="U156" i="58"/>
  <c r="R160" i="58"/>
  <c r="R190" i="58" s="1"/>
  <c r="R193" i="58" s="1"/>
  <c r="X163" i="58"/>
  <c r="V162" i="58"/>
  <c r="V161" i="58" s="1"/>
  <c r="L168" i="58"/>
  <c r="V179" i="58"/>
  <c r="T178" i="58"/>
  <c r="S184" i="58"/>
  <c r="S190" i="58" s="1"/>
  <c r="S193" i="58" s="1"/>
  <c r="Y184" i="58"/>
  <c r="Y189" i="58"/>
  <c r="O184" i="58"/>
  <c r="V187" i="58"/>
  <c r="J178" i="58"/>
  <c r="AA19" i="70" l="1"/>
  <c r="AA32" i="70" s="1"/>
  <c r="U32" i="70"/>
  <c r="U35" i="70" s="1"/>
  <c r="AK31" i="70"/>
  <c r="AK32" i="70" s="1"/>
  <c r="AM30" i="70"/>
  <c r="E32" i="70"/>
  <c r="E19" i="70"/>
  <c r="G17" i="70"/>
  <c r="E22" i="68"/>
  <c r="F6" i="68"/>
  <c r="G24" i="68"/>
  <c r="G27" i="68" s="1"/>
  <c r="F27" i="68"/>
  <c r="E29" i="68"/>
  <c r="V79" i="65"/>
  <c r="V93" i="65" s="1"/>
  <c r="X74" i="65"/>
  <c r="X79" i="65" s="1"/>
  <c r="X93" i="65" s="1"/>
  <c r="V88" i="65"/>
  <c r="V94" i="65" s="1"/>
  <c r="X84" i="65"/>
  <c r="X88" i="65" s="1"/>
  <c r="X94" i="65" s="1"/>
  <c r="I88" i="65"/>
  <c r="L88" i="65"/>
  <c r="V58" i="65"/>
  <c r="V92" i="65" s="1"/>
  <c r="X11" i="65"/>
  <c r="X58" i="65" s="1"/>
  <c r="X92" i="65" s="1"/>
  <c r="W34" i="63"/>
  <c r="M34" i="63"/>
  <c r="K34" i="63"/>
  <c r="X50" i="62"/>
  <c r="J58" i="62"/>
  <c r="J59" i="62" s="1"/>
  <c r="X6" i="62"/>
  <c r="X11" i="62"/>
  <c r="X26" i="62" s="1"/>
  <c r="Z12" i="62"/>
  <c r="Z11" i="62" s="1"/>
  <c r="Z26" i="62" s="1"/>
  <c r="Z6" i="62"/>
  <c r="L6" i="62"/>
  <c r="L58" i="62" s="1"/>
  <c r="L59" i="62" s="1"/>
  <c r="N7" i="62"/>
  <c r="N6" i="62" s="1"/>
  <c r="N58" i="62" s="1"/>
  <c r="N59" i="62" s="1"/>
  <c r="Z50" i="62"/>
  <c r="E163" i="61"/>
  <c r="Y61" i="61"/>
  <c r="Y83" i="61" s="1"/>
  <c r="K8" i="61"/>
  <c r="H153" i="61"/>
  <c r="H150" i="61" s="1"/>
  <c r="Y79" i="61"/>
  <c r="P163" i="61"/>
  <c r="U135" i="61"/>
  <c r="R163" i="61"/>
  <c r="O163" i="61"/>
  <c r="X163" i="61"/>
  <c r="K19" i="61"/>
  <c r="Y72" i="61"/>
  <c r="M19" i="61"/>
  <c r="Y131" i="61"/>
  <c r="W157" i="61"/>
  <c r="M151" i="61"/>
  <c r="Y19" i="61"/>
  <c r="M8" i="61"/>
  <c r="V163" i="61"/>
  <c r="G163" i="61"/>
  <c r="U31" i="61"/>
  <c r="W79" i="61"/>
  <c r="Y120" i="61"/>
  <c r="Y118" i="61" s="1"/>
  <c r="W118" i="61"/>
  <c r="W113" i="61" s="1"/>
  <c r="W135" i="61" s="1"/>
  <c r="I145" i="61"/>
  <c r="H144" i="61"/>
  <c r="H139" i="61" s="1"/>
  <c r="U157" i="61"/>
  <c r="W105" i="61"/>
  <c r="Y106" i="61"/>
  <c r="Y105" i="61" s="1"/>
  <c r="U57" i="61"/>
  <c r="K31" i="61"/>
  <c r="I40" i="61"/>
  <c r="H35" i="61"/>
  <c r="H57" i="61" s="1"/>
  <c r="I57" i="61" s="1"/>
  <c r="L157" i="61"/>
  <c r="L162" i="61"/>
  <c r="M162" i="61" s="1"/>
  <c r="Y154" i="61"/>
  <c r="U139" i="61"/>
  <c r="W140" i="61"/>
  <c r="J139" i="61"/>
  <c r="J163" i="61" s="1"/>
  <c r="K140" i="61"/>
  <c r="Y157" i="61"/>
  <c r="I87" i="61"/>
  <c r="K87" i="61" s="1"/>
  <c r="M87" i="61" s="1"/>
  <c r="M109" i="61" s="1"/>
  <c r="W49" i="61"/>
  <c r="W46" i="61" s="1"/>
  <c r="W57" i="61" s="1"/>
  <c r="W98" i="61"/>
  <c r="U109" i="61"/>
  <c r="U83" i="61"/>
  <c r="Y9" i="61"/>
  <c r="Y8" i="61" s="1"/>
  <c r="W8" i="61"/>
  <c r="W31" i="61" s="1"/>
  <c r="H98" i="61"/>
  <c r="I98" i="61" s="1"/>
  <c r="K98" i="61" s="1"/>
  <c r="I101" i="61"/>
  <c r="K148" i="61"/>
  <c r="M148" i="61" s="1"/>
  <c r="I26" i="61"/>
  <c r="Y114" i="61"/>
  <c r="W92" i="61"/>
  <c r="W87" i="61" s="1"/>
  <c r="Y93" i="61"/>
  <c r="Y92" i="61" s="1"/>
  <c r="Y87" i="61" s="1"/>
  <c r="S153" i="61"/>
  <c r="S150" i="61" s="1"/>
  <c r="S163" i="61" s="1"/>
  <c r="U155" i="61"/>
  <c r="J150" i="61"/>
  <c r="W83" i="61"/>
  <c r="W162" i="61"/>
  <c r="Y145" i="61"/>
  <c r="Y144" i="61" s="1"/>
  <c r="W144" i="61"/>
  <c r="Y47" i="61"/>
  <c r="Y46" i="61" s="1"/>
  <c r="J26" i="61"/>
  <c r="J31" i="61" s="1"/>
  <c r="W151" i="61"/>
  <c r="W40" i="61"/>
  <c r="W35" i="61" s="1"/>
  <c r="Y41" i="61"/>
  <c r="Y40" i="61" s="1"/>
  <c r="Y35" i="61" s="1"/>
  <c r="I118" i="61"/>
  <c r="H113" i="61"/>
  <c r="H157" i="61"/>
  <c r="I158" i="61"/>
  <c r="I157" i="61" s="1"/>
  <c r="K157" i="61"/>
  <c r="M157" i="61" s="1"/>
  <c r="L8" i="61"/>
  <c r="L31" i="61" s="1"/>
  <c r="I75" i="61"/>
  <c r="H72" i="61"/>
  <c r="M46" i="61"/>
  <c r="V8" i="58"/>
  <c r="V36" i="58" s="1"/>
  <c r="Y190" i="58"/>
  <c r="O190" i="58"/>
  <c r="X41" i="58"/>
  <c r="V40" i="58"/>
  <c r="L10" i="58"/>
  <c r="L187" i="58"/>
  <c r="K184" i="58"/>
  <c r="K36" i="58"/>
  <c r="V66" i="58"/>
  <c r="X26" i="58"/>
  <c r="Z27" i="58"/>
  <c r="Z26" i="58" s="1"/>
  <c r="V173" i="58"/>
  <c r="V160" i="58" s="1"/>
  <c r="N66" i="58"/>
  <c r="Z62" i="58"/>
  <c r="Z58" i="58" s="1"/>
  <c r="X58" i="58"/>
  <c r="Z163" i="58"/>
  <c r="Z162" i="58" s="1"/>
  <c r="Z161" i="58" s="1"/>
  <c r="X162" i="58"/>
  <c r="X161" i="58" s="1"/>
  <c r="L184" i="58"/>
  <c r="L126" i="58"/>
  <c r="N123" i="58"/>
  <c r="N126" i="58" s="1"/>
  <c r="X63" i="58"/>
  <c r="Z64" i="58"/>
  <c r="Z63" i="58" s="1"/>
  <c r="Z54" i="58"/>
  <c r="Z53" i="58" s="1"/>
  <c r="X53" i="58"/>
  <c r="X173" i="58"/>
  <c r="Z174" i="58"/>
  <c r="Z173" i="58" s="1"/>
  <c r="L66" i="58"/>
  <c r="V178" i="58"/>
  <c r="X179" i="58"/>
  <c r="V130" i="58"/>
  <c r="T156" i="58"/>
  <c r="V71" i="58"/>
  <c r="T70" i="58"/>
  <c r="T96" i="58" s="1"/>
  <c r="V96" i="58" s="1"/>
  <c r="X96" i="58" s="1"/>
  <c r="Z96" i="58" s="1"/>
  <c r="X187" i="58"/>
  <c r="V184" i="58"/>
  <c r="J162" i="58"/>
  <c r="J161" i="58" s="1"/>
  <c r="J160" i="58" s="1"/>
  <c r="H161" i="58"/>
  <c r="H160" i="58" s="1"/>
  <c r="H190" i="58" s="1"/>
  <c r="X123" i="58"/>
  <c r="V126" i="58"/>
  <c r="L162" i="58"/>
  <c r="L161" i="58" s="1"/>
  <c r="L160" i="58" s="1"/>
  <c r="K161" i="58"/>
  <c r="K160" i="58" s="1"/>
  <c r="Z9" i="58"/>
  <c r="Z8" i="58" s="1"/>
  <c r="X8" i="58"/>
  <c r="T160" i="58"/>
  <c r="T190" i="58" s="1"/>
  <c r="T193" i="58" s="1"/>
  <c r="N170" i="58"/>
  <c r="K41" i="58"/>
  <c r="N41" i="58"/>
  <c r="G32" i="70" l="1"/>
  <c r="G19" i="70"/>
  <c r="AM31" i="70"/>
  <c r="AM32" i="70" s="1"/>
  <c r="AO30" i="70"/>
  <c r="AO31" i="70" s="1"/>
  <c r="AO32" i="70" s="1"/>
  <c r="F22" i="68"/>
  <c r="F29" i="68" s="1"/>
  <c r="G6" i="68"/>
  <c r="G22" i="68" s="1"/>
  <c r="G29" i="68" s="1"/>
  <c r="X58" i="62"/>
  <c r="X59" i="62" s="1"/>
  <c r="Z58" i="62"/>
  <c r="Z59" i="62" s="1"/>
  <c r="Y113" i="61"/>
  <c r="Y135" i="61" s="1"/>
  <c r="Y31" i="61"/>
  <c r="M31" i="61"/>
  <c r="Y57" i="61"/>
  <c r="I72" i="61"/>
  <c r="H83" i="61"/>
  <c r="I83" i="61" s="1"/>
  <c r="K83" i="61" s="1"/>
  <c r="M83" i="61" s="1"/>
  <c r="W109" i="61"/>
  <c r="L163" i="61"/>
  <c r="W155" i="61"/>
  <c r="U153" i="61"/>
  <c r="U150" i="61" s="1"/>
  <c r="U163" i="61" s="1"/>
  <c r="M140" i="61"/>
  <c r="K101" i="61"/>
  <c r="I153" i="61"/>
  <c r="H163" i="61"/>
  <c r="I139" i="61"/>
  <c r="I113" i="61"/>
  <c r="K113" i="61" s="1"/>
  <c r="H135" i="61"/>
  <c r="I135" i="61" s="1"/>
  <c r="Y151" i="61"/>
  <c r="Y162" i="61"/>
  <c r="K109" i="61"/>
  <c r="H109" i="61"/>
  <c r="I109" i="61" s="1"/>
  <c r="W139" i="61"/>
  <c r="Y140" i="61"/>
  <c r="Y139" i="61" s="1"/>
  <c r="J40" i="61"/>
  <c r="I35" i="61"/>
  <c r="K35" i="61" s="1"/>
  <c r="Y109" i="61"/>
  <c r="I144" i="61"/>
  <c r="K145" i="61"/>
  <c r="X160" i="58"/>
  <c r="Z160" i="58"/>
  <c r="X36" i="58"/>
  <c r="K190" i="58"/>
  <c r="V70" i="58"/>
  <c r="X71" i="58"/>
  <c r="V190" i="58"/>
  <c r="N10" i="58"/>
  <c r="N162" i="58" s="1"/>
  <c r="L9" i="58"/>
  <c r="X126" i="58"/>
  <c r="Z123" i="58"/>
  <c r="Z126" i="58" s="1"/>
  <c r="Z187" i="58"/>
  <c r="Z184" i="58" s="1"/>
  <c r="X184" i="58"/>
  <c r="X190" i="58" s="1"/>
  <c r="V156" i="58"/>
  <c r="X130" i="58"/>
  <c r="Z36" i="58"/>
  <c r="Z179" i="58"/>
  <c r="Z178" i="58" s="1"/>
  <c r="X178" i="58"/>
  <c r="Z41" i="58"/>
  <c r="Z40" i="58" s="1"/>
  <c r="Z66" i="58" s="1"/>
  <c r="X40" i="58"/>
  <c r="X66" i="58" s="1"/>
  <c r="M35" i="61" l="1"/>
  <c r="K57" i="61"/>
  <c r="Y155" i="61"/>
  <c r="Y153" i="61" s="1"/>
  <c r="Y150" i="61" s="1"/>
  <c r="Y163" i="61" s="1"/>
  <c r="W153" i="61"/>
  <c r="W150" i="61" s="1"/>
  <c r="W163" i="61" s="1"/>
  <c r="M145" i="61"/>
  <c r="K144" i="61"/>
  <c r="I150" i="61"/>
  <c r="K153" i="61"/>
  <c r="M113" i="61"/>
  <c r="M135" i="61" s="1"/>
  <c r="K135" i="61"/>
  <c r="N9" i="58"/>
  <c r="L8" i="58"/>
  <c r="L36" i="58" s="1"/>
  <c r="Z190" i="58"/>
  <c r="Z130" i="58"/>
  <c r="Z156" i="58" s="1"/>
  <c r="X156" i="58"/>
  <c r="Z71" i="58"/>
  <c r="Z70" i="58" s="1"/>
  <c r="X70" i="58"/>
  <c r="M144" i="61" l="1"/>
  <c r="M139" i="61" s="1"/>
  <c r="K139" i="61"/>
  <c r="M57" i="61"/>
  <c r="J57" i="61"/>
  <c r="K150" i="61"/>
  <c r="M150" i="61" s="1"/>
  <c r="M153" i="61"/>
  <c r="N8" i="58"/>
  <c r="N36" i="58" s="1"/>
  <c r="N161" i="58"/>
  <c r="N160" i="58" s="1"/>
  <c r="N190" i="58" s="1"/>
  <c r="M163" i="61" l="1"/>
  <c r="K163" i="61"/>
  <c r="L25" i="38"/>
  <c r="K25" i="38"/>
  <c r="J25" i="38"/>
  <c r="I25" i="38"/>
  <c r="H25" i="38"/>
  <c r="G25" i="38"/>
  <c r="F25" i="38"/>
  <c r="N24" i="38"/>
  <c r="N23" i="38"/>
  <c r="N22" i="38"/>
  <c r="N21" i="38"/>
  <c r="N20" i="38"/>
  <c r="N19" i="38"/>
  <c r="N18" i="38"/>
  <c r="N17" i="38"/>
  <c r="N16" i="38"/>
  <c r="N15" i="38"/>
  <c r="N14" i="38"/>
  <c r="M13" i="38"/>
  <c r="M25" i="38" s="1"/>
  <c r="E13" i="38"/>
  <c r="E25" i="38" s="1"/>
  <c r="N12" i="38"/>
  <c r="G139" i="39"/>
  <c r="C89" i="39"/>
  <c r="G144" i="39"/>
  <c r="G143" i="39"/>
  <c r="G142" i="39"/>
  <c r="G140" i="39"/>
  <c r="D89" i="39"/>
  <c r="R23" i="34"/>
  <c r="I10" i="34"/>
  <c r="N13" i="38" l="1"/>
  <c r="N25" i="38" s="1"/>
  <c r="P82" i="34"/>
  <c r="P81" i="34"/>
  <c r="P75" i="34"/>
  <c r="P76" i="34"/>
  <c r="P74" i="34"/>
  <c r="G87" i="34"/>
  <c r="G76" i="34"/>
  <c r="G75" i="34"/>
  <c r="Q51" i="34"/>
  <c r="Q50" i="34"/>
  <c r="Q49" i="34"/>
  <c r="Q52" i="34" s="1"/>
  <c r="Q47" i="34"/>
  <c r="Q46" i="34"/>
  <c r="Q44" i="34"/>
  <c r="Q43" i="34"/>
  <c r="Q42" i="34"/>
  <c r="P23" i="34"/>
  <c r="P22" i="34"/>
  <c r="P18" i="34"/>
  <c r="P17" i="34"/>
  <c r="P15" i="34"/>
  <c r="P14" i="34"/>
  <c r="P11" i="34"/>
  <c r="P12" i="34"/>
  <c r="P13" i="34"/>
  <c r="P10" i="34"/>
  <c r="G19" i="34"/>
  <c r="G18" i="34"/>
  <c r="G17" i="34"/>
  <c r="H17" i="34" s="1"/>
  <c r="G14" i="34"/>
  <c r="G12" i="34"/>
  <c r="G11" i="34"/>
  <c r="P22" i="33"/>
  <c r="P14" i="33"/>
  <c r="P15" i="33"/>
  <c r="P11" i="33"/>
  <c r="P10" i="33"/>
  <c r="F152" i="39" l="1"/>
  <c r="E152" i="39"/>
  <c r="C152" i="39"/>
  <c r="G151" i="39"/>
  <c r="D150" i="39"/>
  <c r="G150" i="39" s="1"/>
  <c r="G149" i="39"/>
  <c r="G148" i="39"/>
  <c r="D148" i="39"/>
  <c r="E145" i="39"/>
  <c r="D145" i="39"/>
  <c r="C145" i="39"/>
  <c r="C156" i="39" s="1"/>
  <c r="G141" i="39"/>
  <c r="G145" i="39" s="1"/>
  <c r="C133" i="39"/>
  <c r="G132" i="39"/>
  <c r="G131" i="39"/>
  <c r="D130" i="39"/>
  <c r="D133" i="39" s="1"/>
  <c r="F127" i="39"/>
  <c r="E127" i="39"/>
  <c r="D127" i="39"/>
  <c r="C127" i="39"/>
  <c r="G126" i="39"/>
  <c r="G125" i="39"/>
  <c r="G124" i="39"/>
  <c r="G123" i="39"/>
  <c r="G122" i="39"/>
  <c r="G121" i="39"/>
  <c r="D115" i="39"/>
  <c r="C115" i="39"/>
  <c r="G114" i="39"/>
  <c r="G113" i="39"/>
  <c r="G112" i="39"/>
  <c r="G111" i="39"/>
  <c r="F108" i="39"/>
  <c r="E108" i="39"/>
  <c r="D108" i="39"/>
  <c r="C108" i="39"/>
  <c r="G107" i="39"/>
  <c r="G106" i="39"/>
  <c r="G105" i="39"/>
  <c r="G104" i="39"/>
  <c r="G103" i="39"/>
  <c r="G102" i="39"/>
  <c r="G108" i="39" s="1"/>
  <c r="F96" i="39"/>
  <c r="E96" i="39"/>
  <c r="D96" i="39"/>
  <c r="C96" i="39"/>
  <c r="G95" i="39"/>
  <c r="G94" i="39"/>
  <c r="G93" i="39"/>
  <c r="G92" i="39"/>
  <c r="G96" i="39" s="1"/>
  <c r="G86" i="39"/>
  <c r="G85" i="39"/>
  <c r="G89" i="39" s="1"/>
  <c r="F77" i="39"/>
  <c r="E77" i="39"/>
  <c r="D77" i="39"/>
  <c r="C77" i="39"/>
  <c r="G76" i="39"/>
  <c r="G75" i="39"/>
  <c r="G74" i="39"/>
  <c r="G73" i="39"/>
  <c r="G70" i="39"/>
  <c r="C70" i="39"/>
  <c r="G69" i="39"/>
  <c r="G66" i="39"/>
  <c r="F58" i="39"/>
  <c r="E58" i="39"/>
  <c r="D58" i="39"/>
  <c r="C58" i="39"/>
  <c r="G57" i="39"/>
  <c r="G56" i="39"/>
  <c r="G55" i="39"/>
  <c r="G54" i="39"/>
  <c r="D51" i="39"/>
  <c r="C51" i="39"/>
  <c r="G50" i="39"/>
  <c r="G49" i="39"/>
  <c r="G48" i="39"/>
  <c r="G47" i="39"/>
  <c r="G46" i="39"/>
  <c r="G45" i="39"/>
  <c r="F39" i="39"/>
  <c r="E39" i="39"/>
  <c r="D39" i="39"/>
  <c r="G38" i="39"/>
  <c r="G37" i="39"/>
  <c r="G36" i="39"/>
  <c r="C35" i="39"/>
  <c r="C39" i="39" s="1"/>
  <c r="C32" i="39"/>
  <c r="G31" i="39"/>
  <c r="G30" i="39"/>
  <c r="G29" i="39"/>
  <c r="G28" i="39"/>
  <c r="G27" i="39"/>
  <c r="G26" i="39"/>
  <c r="F20" i="39"/>
  <c r="E20" i="39"/>
  <c r="D20" i="39"/>
  <c r="C20" i="39"/>
  <c r="G19" i="39"/>
  <c r="G18" i="39"/>
  <c r="G17" i="39"/>
  <c r="G16" i="39"/>
  <c r="F13" i="39"/>
  <c r="E13" i="39"/>
  <c r="D13" i="39"/>
  <c r="C13" i="39"/>
  <c r="G12" i="39"/>
  <c r="G11" i="39"/>
  <c r="G10" i="39"/>
  <c r="G9" i="39"/>
  <c r="G8" i="39"/>
  <c r="G7" i="39"/>
  <c r="G32" i="39" l="1"/>
  <c r="G51" i="39"/>
  <c r="G58" i="39"/>
  <c r="G77" i="39"/>
  <c r="G127" i="39"/>
  <c r="G115" i="39"/>
  <c r="G13" i="39"/>
  <c r="G20" i="39"/>
  <c r="P19" i="34"/>
  <c r="P19" i="33"/>
  <c r="G10" i="34"/>
  <c r="P16" i="33"/>
  <c r="P13" i="33"/>
  <c r="G152" i="39"/>
  <c r="D152" i="39"/>
  <c r="G35" i="39"/>
  <c r="G39" i="39" s="1"/>
  <c r="G130" i="39"/>
  <c r="G133" i="39" s="1"/>
  <c r="P12" i="33" l="1"/>
  <c r="P17" i="33" s="1"/>
  <c r="P20" i="33" s="1"/>
  <c r="P23" i="33"/>
  <c r="P21" i="33"/>
  <c r="P24" i="33" s="1"/>
  <c r="P16" i="34"/>
  <c r="H35" i="34" l="1"/>
  <c r="H34" i="34"/>
  <c r="H33" i="34"/>
  <c r="H30" i="34"/>
  <c r="H29" i="34"/>
  <c r="H71" i="34"/>
  <c r="R102" i="34"/>
  <c r="Q18" i="34"/>
  <c r="Q19" i="34"/>
  <c r="Q11" i="34"/>
  <c r="Q12" i="34"/>
  <c r="Q13" i="34"/>
  <c r="Q14" i="34"/>
  <c r="Q10" i="34"/>
  <c r="Q23" i="34"/>
  <c r="H52" i="34"/>
  <c r="H53" i="34" s="1"/>
  <c r="H56" i="34" s="1"/>
  <c r="H48" i="34"/>
  <c r="G36" i="34" l="1"/>
  <c r="H36" i="34"/>
  <c r="D17" i="33" l="1"/>
  <c r="E17" i="33"/>
  <c r="F17" i="33"/>
  <c r="G17" i="33"/>
  <c r="H17" i="33"/>
  <c r="I17" i="33"/>
  <c r="J17" i="33"/>
  <c r="K17" i="33"/>
  <c r="L17" i="33"/>
  <c r="M17" i="33"/>
  <c r="N17" i="33"/>
  <c r="C17" i="33"/>
  <c r="C20" i="33" s="1"/>
  <c r="O17" i="33" l="1"/>
  <c r="O20" i="33" s="1"/>
  <c r="Q82" i="34" l="1"/>
  <c r="I103" i="34"/>
  <c r="Q17" i="34" l="1"/>
  <c r="H23" i="34" l="1"/>
  <c r="H11" i="34"/>
  <c r="H12" i="34"/>
  <c r="H13" i="34"/>
  <c r="H14" i="34"/>
  <c r="Q65" i="34"/>
  <c r="H67" i="34"/>
  <c r="H66" i="34"/>
  <c r="H65" i="34"/>
  <c r="H63" i="34"/>
  <c r="H62" i="34"/>
  <c r="H61" i="34"/>
  <c r="H60" i="34"/>
  <c r="H59" i="34"/>
  <c r="H58" i="34"/>
  <c r="H39" i="34"/>
  <c r="Q59" i="34" l="1"/>
  <c r="Q60" i="34"/>
  <c r="Q61" i="34"/>
  <c r="Q62" i="34"/>
  <c r="Q63" i="34"/>
  <c r="Q58" i="34"/>
  <c r="Q27" i="34"/>
  <c r="Q28" i="34"/>
  <c r="Q30" i="34"/>
  <c r="Q31" i="34"/>
  <c r="Q26" i="34"/>
  <c r="H10" i="34" l="1"/>
  <c r="R103" i="34" l="1"/>
  <c r="Q103" i="34"/>
  <c r="I16" i="34"/>
  <c r="S95" i="34"/>
  <c r="S94" i="34"/>
  <c r="S93" i="34"/>
  <c r="S92" i="34"/>
  <c r="S91" i="34"/>
  <c r="S90" i="34"/>
  <c r="S99" i="34"/>
  <c r="S98" i="34"/>
  <c r="S97" i="34"/>
  <c r="R98" i="34"/>
  <c r="R97" i="34"/>
  <c r="P99" i="34"/>
  <c r="P98" i="34"/>
  <c r="P97" i="34"/>
  <c r="P95" i="34"/>
  <c r="P94" i="34"/>
  <c r="P92" i="34"/>
  <c r="P91" i="34"/>
  <c r="P90" i="34"/>
  <c r="P103" i="34"/>
  <c r="S16" i="34"/>
  <c r="I104" i="34"/>
  <c r="G104" i="34"/>
  <c r="G103" i="34"/>
  <c r="J99" i="34"/>
  <c r="J98" i="34"/>
  <c r="I99" i="34"/>
  <c r="I98" i="34"/>
  <c r="G99" i="34"/>
  <c r="G98" i="34"/>
  <c r="J94" i="34"/>
  <c r="I94" i="34"/>
  <c r="G94" i="34"/>
  <c r="J32" i="34"/>
  <c r="I32" i="34"/>
  <c r="G32" i="34"/>
  <c r="J48" i="34"/>
  <c r="I48" i="34"/>
  <c r="G48" i="34"/>
  <c r="J64" i="34"/>
  <c r="I64" i="34"/>
  <c r="H64" i="34"/>
  <c r="G64" i="34"/>
  <c r="J80" i="34"/>
  <c r="I80" i="34"/>
  <c r="G80" i="34"/>
  <c r="H83" i="34"/>
  <c r="H82" i="34"/>
  <c r="H78" i="34"/>
  <c r="H94" i="34" s="1"/>
  <c r="J16" i="34"/>
  <c r="G16" i="34"/>
  <c r="H19" i="34"/>
  <c r="H18" i="34"/>
  <c r="H99" i="34" l="1"/>
  <c r="H98" i="34"/>
  <c r="R94" i="34" l="1"/>
  <c r="R92" i="34"/>
  <c r="R91" i="34"/>
  <c r="R90" i="34"/>
  <c r="Q81" i="34"/>
  <c r="R84" i="34"/>
  <c r="R80" i="34"/>
  <c r="G90" i="34"/>
  <c r="H74" i="34"/>
  <c r="H75" i="34"/>
  <c r="H76" i="34"/>
  <c r="H77" i="34"/>
  <c r="H81" i="34"/>
  <c r="H86" i="34"/>
  <c r="H103" i="34" s="1"/>
  <c r="H27" i="34"/>
  <c r="H28" i="34"/>
  <c r="H26" i="34"/>
  <c r="H22" i="34"/>
  <c r="H90" i="34" l="1"/>
  <c r="H92" i="34"/>
  <c r="H97" i="34"/>
  <c r="H100" i="34" s="1"/>
  <c r="H93" i="34"/>
  <c r="H91" i="34"/>
  <c r="H80" i="34"/>
  <c r="H32" i="34"/>
  <c r="R85" i="34"/>
  <c r="R88" i="34" s="1"/>
  <c r="H20" i="34"/>
  <c r="D24" i="33"/>
  <c r="E24" i="33"/>
  <c r="F24" i="33"/>
  <c r="G24" i="33"/>
  <c r="H24" i="33"/>
  <c r="I24" i="33"/>
  <c r="J24" i="33"/>
  <c r="K24" i="33"/>
  <c r="L24" i="33"/>
  <c r="M24" i="33"/>
  <c r="N24" i="33"/>
  <c r="C24" i="33"/>
  <c r="O22" i="33"/>
  <c r="Q22" i="33" s="1"/>
  <c r="O23" i="33"/>
  <c r="Q23" i="33" s="1"/>
  <c r="O21" i="33" l="1"/>
  <c r="Q21" i="33" s="1"/>
  <c r="O16" i="33"/>
  <c r="Q16" i="33" s="1"/>
  <c r="O13" i="33"/>
  <c r="Q13" i="33" s="1"/>
  <c r="O14" i="33"/>
  <c r="Q14" i="33" s="1"/>
  <c r="J103" i="34" l="1"/>
  <c r="P102" i="34"/>
  <c r="G102" i="34"/>
  <c r="J97" i="34"/>
  <c r="I97" i="34"/>
  <c r="G97" i="34"/>
  <c r="G100" i="34" s="1"/>
  <c r="J93" i="34"/>
  <c r="I93" i="34"/>
  <c r="G93" i="34"/>
  <c r="J92" i="34"/>
  <c r="I92" i="34"/>
  <c r="G92" i="34"/>
  <c r="J91" i="34"/>
  <c r="I91" i="34"/>
  <c r="G91" i="34"/>
  <c r="J90" i="34"/>
  <c r="I90" i="34"/>
  <c r="H87" i="34"/>
  <c r="H104" i="34" s="1"/>
  <c r="S84" i="34"/>
  <c r="Q84" i="34"/>
  <c r="P84" i="34"/>
  <c r="J84" i="34"/>
  <c r="I84" i="34"/>
  <c r="G84" i="34"/>
  <c r="S80" i="34"/>
  <c r="Q79" i="34"/>
  <c r="Q78" i="34"/>
  <c r="P77" i="34"/>
  <c r="P80" i="34" s="1"/>
  <c r="Q76" i="34"/>
  <c r="Q75" i="34"/>
  <c r="Q74" i="34"/>
  <c r="S68" i="34"/>
  <c r="S69" i="34" s="1"/>
  <c r="S72" i="34" s="1"/>
  <c r="R68" i="34"/>
  <c r="R69" i="34" s="1"/>
  <c r="R72" i="34" s="1"/>
  <c r="Q68" i="34"/>
  <c r="P68" i="34"/>
  <c r="J68" i="34"/>
  <c r="I68" i="34"/>
  <c r="H68" i="34"/>
  <c r="G68" i="34"/>
  <c r="Q64" i="34"/>
  <c r="P64" i="34"/>
  <c r="S52" i="34"/>
  <c r="S53" i="34" s="1"/>
  <c r="S56" i="34" s="1"/>
  <c r="R52" i="34"/>
  <c r="R53" i="34" s="1"/>
  <c r="R56" i="34" s="1"/>
  <c r="P52" i="34"/>
  <c r="J52" i="34"/>
  <c r="I52" i="34"/>
  <c r="G52" i="34"/>
  <c r="G53" i="34" s="1"/>
  <c r="G56" i="34" s="1"/>
  <c r="P45" i="34"/>
  <c r="Q45" i="34" s="1"/>
  <c r="Q48" i="34" s="1"/>
  <c r="S36" i="34"/>
  <c r="R36" i="34"/>
  <c r="P36" i="34"/>
  <c r="J36" i="34"/>
  <c r="I36" i="34"/>
  <c r="Q35" i="34"/>
  <c r="Q34" i="34"/>
  <c r="Q33" i="34"/>
  <c r="Q36" i="34" s="1"/>
  <c r="S32" i="34"/>
  <c r="R32" i="34"/>
  <c r="P29" i="34"/>
  <c r="Q29" i="34" s="1"/>
  <c r="Q22" i="34"/>
  <c r="Q102" i="34" s="1"/>
  <c r="S21" i="34"/>
  <c r="S24" i="34" s="1"/>
  <c r="P20" i="34"/>
  <c r="J20" i="34"/>
  <c r="I20" i="34"/>
  <c r="I21" i="34" s="1"/>
  <c r="G20" i="34"/>
  <c r="P48" i="34" l="1"/>
  <c r="P53" i="34" s="1"/>
  <c r="Q90" i="34"/>
  <c r="Q94" i="34"/>
  <c r="Q91" i="34"/>
  <c r="Q97" i="34"/>
  <c r="Q92" i="34"/>
  <c r="Q98" i="34"/>
  <c r="P93" i="34"/>
  <c r="P96" i="34" s="1"/>
  <c r="I96" i="34"/>
  <c r="J96" i="34"/>
  <c r="G96" i="34"/>
  <c r="H96" i="34"/>
  <c r="H101" i="34" s="1"/>
  <c r="H105" i="34" s="1"/>
  <c r="H16" i="34"/>
  <c r="H84" i="34"/>
  <c r="P21" i="34"/>
  <c r="P24" i="34" s="1"/>
  <c r="R37" i="34"/>
  <c r="R40" i="34" s="1"/>
  <c r="J69" i="34"/>
  <c r="J72" i="34" s="1"/>
  <c r="G21" i="34"/>
  <c r="H21" i="34" s="1"/>
  <c r="I37" i="34"/>
  <c r="I40" i="34" s="1"/>
  <c r="P100" i="34"/>
  <c r="G69" i="34"/>
  <c r="G72" i="34" s="1"/>
  <c r="P69" i="34"/>
  <c r="P72" i="34" s="1"/>
  <c r="J85" i="34"/>
  <c r="J88" i="34" s="1"/>
  <c r="S96" i="34"/>
  <c r="I100" i="34"/>
  <c r="S100" i="34"/>
  <c r="G37" i="34"/>
  <c r="G40" i="34" s="1"/>
  <c r="Q69" i="34"/>
  <c r="Q72" i="34" s="1"/>
  <c r="G85" i="34"/>
  <c r="G88" i="34" s="1"/>
  <c r="J100" i="34"/>
  <c r="J21" i="34"/>
  <c r="J24" i="34" s="1"/>
  <c r="S37" i="34"/>
  <c r="S40" i="34" s="1"/>
  <c r="I53" i="34"/>
  <c r="I56" i="34" s="1"/>
  <c r="I85" i="34"/>
  <c r="S85" i="34"/>
  <c r="S88" i="34" s="1"/>
  <c r="J37" i="34"/>
  <c r="J40" i="34" s="1"/>
  <c r="H69" i="34"/>
  <c r="H72" i="34" s="1"/>
  <c r="J53" i="34"/>
  <c r="J56" i="34" s="1"/>
  <c r="H37" i="34"/>
  <c r="H40" i="34" s="1"/>
  <c r="I69" i="34"/>
  <c r="I72" i="34" s="1"/>
  <c r="Q77" i="34"/>
  <c r="Q80" i="34" s="1"/>
  <c r="Q85" i="34" s="1"/>
  <c r="Q88" i="34" s="1"/>
  <c r="P85" i="34"/>
  <c r="P88" i="34" s="1"/>
  <c r="P32" i="34"/>
  <c r="Q32" i="34" s="1"/>
  <c r="P56" i="34" l="1"/>
  <c r="Q53" i="34"/>
  <c r="Q56" i="34" s="1"/>
  <c r="Q93" i="34"/>
  <c r="J101" i="34"/>
  <c r="J105" i="34" s="1"/>
  <c r="P101" i="34"/>
  <c r="P105" i="34" s="1"/>
  <c r="I24" i="34"/>
  <c r="I88" i="34"/>
  <c r="V87" i="34" s="1"/>
  <c r="H85" i="34"/>
  <c r="H88" i="34" s="1"/>
  <c r="G24" i="34"/>
  <c r="G101" i="34"/>
  <c r="G105" i="34" s="1"/>
  <c r="S101" i="34"/>
  <c r="S105" i="34" s="1"/>
  <c r="Q37" i="34"/>
  <c r="Q40" i="34" s="1"/>
  <c r="I101" i="34"/>
  <c r="I105" i="34" s="1"/>
  <c r="P37" i="34"/>
  <c r="P40" i="34" s="1"/>
  <c r="H24" i="34" l="1"/>
  <c r="O15" i="33" l="1"/>
  <c r="Q15" i="33" s="1"/>
  <c r="O12" i="33"/>
  <c r="Q12" i="33" s="1"/>
  <c r="O11" i="33"/>
  <c r="Q11" i="33" s="1"/>
  <c r="O10" i="33"/>
  <c r="Q10" i="33" s="1"/>
  <c r="L15" i="32"/>
  <c r="K15" i="32"/>
  <c r="J15" i="32"/>
  <c r="I15" i="32"/>
  <c r="H15" i="32"/>
  <c r="G15" i="32"/>
  <c r="F15" i="32"/>
  <c r="E15" i="32"/>
  <c r="D15" i="32"/>
  <c r="C15" i="32"/>
  <c r="N14" i="32"/>
  <c r="M14" i="32"/>
  <c r="N13" i="32"/>
  <c r="N12" i="32"/>
  <c r="M12" i="32"/>
  <c r="N11" i="32"/>
  <c r="M11" i="32"/>
  <c r="N10" i="32"/>
  <c r="M10" i="32"/>
  <c r="M15" i="32" l="1"/>
  <c r="N15" i="32"/>
  <c r="O24" i="33"/>
  <c r="R93" i="34" l="1"/>
  <c r="C25" i="33" l="1"/>
  <c r="D19" i="33" s="1"/>
  <c r="D20" i="33" s="1"/>
  <c r="D25" i="33" s="1"/>
  <c r="E19" i="33" l="1"/>
  <c r="E20" i="33" s="1"/>
  <c r="E25" i="33" s="1"/>
  <c r="F19" i="33" s="1"/>
  <c r="F20" i="33" l="1"/>
  <c r="F25" i="33" s="1"/>
  <c r="G19" i="33" l="1"/>
  <c r="G20" i="33" l="1"/>
  <c r="G25" i="33" s="1"/>
  <c r="H19" i="33" l="1"/>
  <c r="H20" i="33" l="1"/>
  <c r="H25" i="33" s="1"/>
  <c r="I19" i="33" l="1"/>
  <c r="I20" i="33" s="1"/>
  <c r="I25" i="33" s="1"/>
  <c r="J19" i="33" l="1"/>
  <c r="J20" i="33" s="1"/>
  <c r="J25" i="33" s="1"/>
  <c r="K19" i="33" l="1"/>
  <c r="K20" i="33" s="1"/>
  <c r="K25" i="33" s="1"/>
  <c r="L19" i="33" l="1"/>
  <c r="L20" i="33" s="1"/>
  <c r="L25" i="33" s="1"/>
  <c r="M19" i="33" l="1"/>
  <c r="M20" i="33" l="1"/>
  <c r="M25" i="33" s="1"/>
  <c r="N19" i="33" l="1"/>
  <c r="N20" i="33" s="1"/>
  <c r="N25" i="33" s="1"/>
  <c r="R20" i="34"/>
  <c r="Q20" i="34" s="1"/>
  <c r="R99" i="34"/>
  <c r="R100" i="34" s="1"/>
  <c r="Q99" i="34"/>
  <c r="Q100" i="34" s="1"/>
  <c r="R16" i="34"/>
  <c r="R95" i="34"/>
  <c r="R96" i="34"/>
  <c r="Q15" i="34"/>
  <c r="Q95" i="34" s="1"/>
  <c r="Q96" i="34" s="1"/>
  <c r="R101" i="34" l="1"/>
  <c r="R105" i="34" s="1"/>
  <c r="R21" i="34"/>
  <c r="Q21" i="34" s="1"/>
  <c r="Q24" i="34" s="1"/>
  <c r="Q16" i="34"/>
  <c r="Q101" i="34"/>
  <c r="Q105" i="34" s="1"/>
  <c r="V105" i="34" s="1"/>
  <c r="R24" i="34" l="1"/>
  <c r="V23" i="34" s="1"/>
  <c r="S136" i="61" l="1"/>
  <c r="S84" i="61"/>
  <c r="S58" i="61"/>
  <c r="S110" i="61"/>
  <c r="S4" i="61"/>
  <c r="S32" i="61"/>
</calcChain>
</file>

<file path=xl/sharedStrings.xml><?xml version="1.0" encoding="utf-8"?>
<sst xmlns="http://schemas.openxmlformats.org/spreadsheetml/2006/main" count="2085" uniqueCount="676">
  <si>
    <t>1. Makó Város Önkormányzat</t>
  </si>
  <si>
    <t>2. Munkaadót terhelő járulékok és szociális adó (K2)</t>
  </si>
  <si>
    <t>1. Személyi jellegű kiadások (K1)</t>
  </si>
  <si>
    <t>4. Ellátottak pénzbeli juttatásai (K4)</t>
  </si>
  <si>
    <t>3. Dologi kiadások (K3)</t>
  </si>
  <si>
    <t>5. Egyéb működési célú kiadások (K5)</t>
  </si>
  <si>
    <t>5.4 Általános tartalék (K513)</t>
  </si>
  <si>
    <t>5.5 Céltartalék (K513)</t>
  </si>
  <si>
    <t>I. Működési kiadások</t>
  </si>
  <si>
    <t>II. Felhalmozási kiadások</t>
  </si>
  <si>
    <t>1. Beruházások (K6)</t>
  </si>
  <si>
    <t>2. Felújítások (K7)</t>
  </si>
  <si>
    <t>3. Egyéb felhalmozási célú kiadások (K8)</t>
  </si>
  <si>
    <t>3.1 Egyéb felhalmozási célú támogatások államháztartáson belülre (K84)</t>
  </si>
  <si>
    <t>3.3 Egyéb felhalmozási célú támogatások államháztartáson kívülre (K89)</t>
  </si>
  <si>
    <t>III. Finanszírozási kiadások</t>
  </si>
  <si>
    <t>1. Hosszú lejáratú kölcsönök (K911)</t>
  </si>
  <si>
    <t>2. Államháztartáson belüli megelőlegezések visszafizetése (K914)</t>
  </si>
  <si>
    <t>3. Központi, irányító szervi támogatás folyósítása (K915)</t>
  </si>
  <si>
    <t>Összesen</t>
  </si>
  <si>
    <t>5.1 Helyi önkormányzatok törvény előíráson alapuló befizetései (K502)</t>
  </si>
  <si>
    <t>3. Makói Óvoda</t>
  </si>
  <si>
    <t>4. József Attila Városi Könyvtár és Múzeum</t>
  </si>
  <si>
    <t>KIADÁSOK</t>
  </si>
  <si>
    <t>Összeg (ezer Ft)</t>
  </si>
  <si>
    <t>Közgazdasági jelleg, finanszírozási bevételek, kiadások</t>
  </si>
  <si>
    <t>Kiemelt előirányzat (rovat)</t>
  </si>
  <si>
    <t>BEVÉTELEK</t>
  </si>
  <si>
    <t>I. Működési bevételek</t>
  </si>
  <si>
    <t>1. Működési célú támogatások államháztartáson belülről (B1)</t>
  </si>
  <si>
    <t>1.1.1 Helyi önkormányzatok működésének általános támogatása (B111)</t>
  </si>
  <si>
    <t>1.1.2 Települési önkormányzatok egyes köznevelési feladatainak támogatása (B112)</t>
  </si>
  <si>
    <t>1.1.3 Települési önkormányzatok szociális, gyermekjóléti és gyermekétekeztetési feladatainak támogatása (B113)</t>
  </si>
  <si>
    <t>1.1.4 Települési önkormányzatok kulturális feladatainak támogatása (B114)</t>
  </si>
  <si>
    <t>1.1.5 Működési célú költségvetési támogatások és kiegészítő támogatások (B115)</t>
  </si>
  <si>
    <t>1.1.6 Elszámolásból származó bevételek (B116)</t>
  </si>
  <si>
    <t>1.1 Önkormányzatok működési támogatása (B11)</t>
  </si>
  <si>
    <t>1.3 Egyéb működési célú támogatások bevételei államháztartáson belülről (B16)</t>
  </si>
  <si>
    <t>2. Működési bevételek (B4)</t>
  </si>
  <si>
    <t>3. Működési célú átvett pénzeszközök (B6)</t>
  </si>
  <si>
    <t>II. Felhalmozási bevételek</t>
  </si>
  <si>
    <t>1. Felhalmozási célú önkormányzati támogatások (B21)</t>
  </si>
  <si>
    <t>2. Egyéb felhalmozási célú támogatások bevételei államháztartáson belülről (B25)</t>
  </si>
  <si>
    <t>8. Felhalmozási célú átvett pénzeszközök (B7)</t>
  </si>
  <si>
    <t>7. Felhalmozási bevételek (B5)</t>
  </si>
  <si>
    <t>III. Finanszírozási bevételek</t>
  </si>
  <si>
    <t>1. Maradvány igénybevétele (B813)</t>
  </si>
  <si>
    <t>1.2 Működési célú visszatérítendő t ámogatások, kölcsönök visszatérülése államháztartáson belülről (B14)</t>
  </si>
  <si>
    <t>Makó Város Önkormányzat (összesen)</t>
  </si>
  <si>
    <t>2.Központi,irányító szervi támogatás</t>
  </si>
  <si>
    <t>2. Központi,irányító szervi támogatás</t>
  </si>
  <si>
    <t>Technikai</t>
  </si>
  <si>
    <t>3. Államháztartáson belüli megelőlegezések visszafizetése (K914)</t>
  </si>
  <si>
    <t>4. Központi, irányító szervi támogatás folyósítása (K915)</t>
  </si>
  <si>
    <t>2.Betét lekötés (K912)</t>
  </si>
  <si>
    <t>Megnevezés</t>
  </si>
  <si>
    <t>adatok ezer forintban</t>
  </si>
  <si>
    <t>sor-szám</t>
  </si>
  <si>
    <t>Sorszám</t>
  </si>
  <si>
    <t>Működési célú pénzeszköz átadás</t>
  </si>
  <si>
    <t>Támogatás értékű működési kiadás</t>
  </si>
  <si>
    <t>Makó Kistérség Többcélú Társulása</t>
  </si>
  <si>
    <t>Román Nemzetiségi Önkor. támogatása</t>
  </si>
  <si>
    <t>Roma Nemzetiségi Önkorm. támogatása</t>
  </si>
  <si>
    <t>Fogorvosi körzetek</t>
  </si>
  <si>
    <t>Felhalmozási célú pénzeszköz átadás</t>
  </si>
  <si>
    <t>Összesen:</t>
  </si>
  <si>
    <t>Irányítás alá tartozó költségvetési szerv működési támogatása</t>
  </si>
  <si>
    <t>Makói Óvoda</t>
  </si>
  <si>
    <t>József Attila Városi Könyvtár és Múzeum</t>
  </si>
  <si>
    <t xml:space="preserve">    </t>
  </si>
  <si>
    <t xml:space="preserve">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</si>
  <si>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</si>
  <si>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</si>
  <si>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</si>
  <si>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</si>
  <si>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</si>
  <si>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</si>
  <si>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</si>
  <si>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</si>
  <si>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</si>
  <si>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</si>
  <si>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</si>
  <si>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</si>
  <si>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</si>
  <si>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</si>
  <si>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</si>
  <si>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</si>
  <si>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</si>
  <si>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</si>
  <si>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</si>
  <si>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</si>
  <si>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</si>
  <si>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Önkormányzati ingatlanok egyéb felújítás</t>
  </si>
  <si>
    <t>1.A. Felh.célú kölcs.visszatér. Áh. Belül  (B23)</t>
  </si>
  <si>
    <t>22.</t>
  </si>
  <si>
    <t>23.</t>
  </si>
  <si>
    <t>Makói Egyesített Népjóléti Intézmény</t>
  </si>
  <si>
    <t>Makói Mentőállomás</t>
  </si>
  <si>
    <t>Makói Rendőrkapitányság</t>
  </si>
  <si>
    <t>5.Makói  Egyesített Népjóléti Intézmény</t>
  </si>
  <si>
    <t>5.Makói Egyesített Népjóléti Intézmény</t>
  </si>
  <si>
    <t>5.6Általános tartalék (K513)</t>
  </si>
  <si>
    <t>5.7 Céltartalék (K513)</t>
  </si>
  <si>
    <t>2018. évi eredeti előirányzat</t>
  </si>
  <si>
    <t>Önkormányzati bérlakások felújítása</t>
  </si>
  <si>
    <t>Rendkívüli települési támogatás- ivóvíz konténer</t>
  </si>
  <si>
    <t>Előirányzat 1/2018. (II.08.) önkormányzati rendelet</t>
  </si>
  <si>
    <t>Előirányzat1/2018. (II.08.) önkormányzati rendelet</t>
  </si>
  <si>
    <t>2019. évi eredeti előirányzat</t>
  </si>
  <si>
    <t>Kamerarendszerek felújítása, pótlása</t>
  </si>
  <si>
    <t>Módosítás</t>
  </si>
  <si>
    <t>Előirányzat 3/2019.(II.07.) önkormányzati rendelet</t>
  </si>
  <si>
    <t>5/2019.(II.28.) önkormányzati rendelettel módosított előirányzat</t>
  </si>
  <si>
    <t>Előirányzat  3/2019.(II.08.) önkormányzati rendelet</t>
  </si>
  <si>
    <t>7/2019. (VI.27.) önkormányzati rendelettel módosított előirányzat</t>
  </si>
  <si>
    <t xml:space="preserve"> 7/2019. (VI.27.) önkormányzati rendelettel módosított előirányzat</t>
  </si>
  <si>
    <t>sorszám</t>
  </si>
  <si>
    <t>Céltartalék összesen</t>
  </si>
  <si>
    <t>Céltartalékba helyezett közműfejlesztési hozzájárulás</t>
  </si>
  <si>
    <t>Általános tartalék</t>
  </si>
  <si>
    <t>Tartalékok összesen</t>
  </si>
  <si>
    <t xml:space="preserve">                  adatok ezer forintban</t>
  </si>
  <si>
    <t>Bevételek</t>
  </si>
  <si>
    <t>Vagyoni típusú adók (B34)</t>
  </si>
  <si>
    <t>Egyéb működési célú támogatások (B16)</t>
  </si>
  <si>
    <t>Felhalmozási célú támogatások (B2)</t>
  </si>
  <si>
    <t xml:space="preserve"> Működési bevételek (B4)</t>
  </si>
  <si>
    <t xml:space="preserve"> Működési célú átvett pénzeszközök (B6)</t>
  </si>
  <si>
    <t>Magánszemélyek jövedelemadói (B311)</t>
  </si>
  <si>
    <t xml:space="preserve"> Termékek és szolgáltatások adói (B35)</t>
  </si>
  <si>
    <t xml:space="preserve"> Egyéb közhatalmi bevételek (B36)</t>
  </si>
  <si>
    <t>Felhalmozási bevétel( B5)</t>
  </si>
  <si>
    <t xml:space="preserve"> Felhalmozási célú átvett pénzeszközök (B7)</t>
  </si>
  <si>
    <t>Betét felbontás( B812)</t>
  </si>
  <si>
    <t xml:space="preserve"> Maradvány igénybevétele (B813)</t>
  </si>
  <si>
    <t>Intézményi finanszírozás növ.</t>
  </si>
  <si>
    <t>Bevétel összesen:</t>
  </si>
  <si>
    <t>Kiadások</t>
  </si>
  <si>
    <t>2019. év</t>
  </si>
  <si>
    <t>Müködési célú kiadások</t>
  </si>
  <si>
    <t>Finanszírozási kiadások</t>
  </si>
  <si>
    <t>Felhalmozási kiadások</t>
  </si>
  <si>
    <t>2019. évi eredeti előirányzata mérleg rendszerben</t>
  </si>
  <si>
    <t>5/2019(II.28.) önkormányzati rendelettel módosított előirányzat</t>
  </si>
  <si>
    <t>Előirányzat 7/2019. (VI.27.) önkormányzati rendelet</t>
  </si>
  <si>
    <t>2018.évi eredeti előirányzat</t>
  </si>
  <si>
    <t>Személyi jellegű kiadások (K1)</t>
  </si>
  <si>
    <t>Munkaadót terhelő járulékok és szociális adó (K2)</t>
  </si>
  <si>
    <t>Dologi kiadások (K3)</t>
  </si>
  <si>
    <t>Ellátottak pénzbeli juttatásai (K4)</t>
  </si>
  <si>
    <t>Finanszírozási bevétel különbözete</t>
  </si>
  <si>
    <t>Egyéb működési célú kiadások (K5)</t>
  </si>
  <si>
    <t>Áh.belüli megelőlegezések visszaf. (K914)</t>
  </si>
  <si>
    <t>Finanszírozási kiadás különbözete</t>
  </si>
  <si>
    <t>Müködési célú kiadás :</t>
  </si>
  <si>
    <t>Müködési bevétel összesen:</t>
  </si>
  <si>
    <t>Előző évek  maradványa  igénybevétele működésre</t>
  </si>
  <si>
    <t>Működési kiadás mindösszesen:</t>
  </si>
  <si>
    <t>Működési bevétel mindösszesen:</t>
  </si>
  <si>
    <t>Felhalmozási célú önkormányzati támogatások (B21)</t>
  </si>
  <si>
    <t>Felújítások (K7)</t>
  </si>
  <si>
    <t>Egyéb felhalmozási célú támogatások bevételei államháztartáson belülről (B25)</t>
  </si>
  <si>
    <t>Egyéb felhalmozási célú kiadások (K8)</t>
  </si>
  <si>
    <t>Termékek és szolgáltatások adói (B35)</t>
  </si>
  <si>
    <t>Egyéb közhatalmi bevételek (B36)</t>
  </si>
  <si>
    <t>Felhalmozási bevétel (B5)</t>
  </si>
  <si>
    <t>Felhalmozási célú kiadás összesen:</t>
  </si>
  <si>
    <t>Felhalmozási bevétel összesen:</t>
  </si>
  <si>
    <t>Betét lekötés (K912)</t>
  </si>
  <si>
    <t>Betét felbontás ( B812)</t>
  </si>
  <si>
    <t>Központi irányítószervi támogatás folyósítása (K915)</t>
  </si>
  <si>
    <t>Előző évek maradványa igénybevétele felhalmozásra</t>
  </si>
  <si>
    <t>Mindösszesen</t>
  </si>
  <si>
    <t>rovat</t>
  </si>
  <si>
    <t>2018. eredeti EI</t>
  </si>
  <si>
    <t>B111-00</t>
  </si>
  <si>
    <t>I.1.</t>
  </si>
  <si>
    <t>Települési önkormányzatok működésének támogatása</t>
  </si>
  <si>
    <t>I.1.a)</t>
  </si>
  <si>
    <t>Önkormányzati hivatal működésének támogatása</t>
  </si>
  <si>
    <t>I.2.</t>
  </si>
  <si>
    <t>Nem közművel összegyűjtött háztartási szennyvíz ártalmatlanítása</t>
  </si>
  <si>
    <t>B112-00</t>
  </si>
  <si>
    <t>II.1.</t>
  </si>
  <si>
    <t>Óvodapedagógusok és óvodapedagógusok nevelő munkáját közvetlenül segítők bértámogatása</t>
  </si>
  <si>
    <t>II.1.aa)</t>
  </si>
  <si>
    <t>Óvodapedagógusok támogatása</t>
  </si>
  <si>
    <t>8 hó</t>
  </si>
  <si>
    <t>4 hó</t>
  </si>
  <si>
    <t>9-12. hó</t>
  </si>
  <si>
    <t>II.1.ab)</t>
  </si>
  <si>
    <t>Óvodapedagógusok munkáját közvetlenül segítők támogatása</t>
  </si>
  <si>
    <t>II.5</t>
  </si>
  <si>
    <t>Ped.II.kategória ovdapedagógus kiegészítő tám.</t>
  </si>
  <si>
    <t>Mesterpedagógus kat. Óvodapedagógus kieg. tám.</t>
  </si>
  <si>
    <t>II.2.</t>
  </si>
  <si>
    <t>Óvodaműködtetési támogatás</t>
  </si>
  <si>
    <t>II.4.</t>
  </si>
  <si>
    <t>II.</t>
  </si>
  <si>
    <t>Köznevelési feladat  támogatása összesen</t>
  </si>
  <si>
    <t>III.2</t>
  </si>
  <si>
    <t>A települési önkormányzatok szociális feladatainak egyéb támogatása</t>
  </si>
  <si>
    <t>III.3.a)</t>
  </si>
  <si>
    <t>Család- és gyermekjóléti szolgálat</t>
  </si>
  <si>
    <t>III.3.b)</t>
  </si>
  <si>
    <t>III.3.c)</t>
  </si>
  <si>
    <t>Szociális étkeztetés</t>
  </si>
  <si>
    <t>III.3.d)</t>
  </si>
  <si>
    <t>Házi segítségnyújtás</t>
  </si>
  <si>
    <t>III.3.e)</t>
  </si>
  <si>
    <t>Falugondnoki szolgáltatás</t>
  </si>
  <si>
    <t>III.3.f)</t>
  </si>
  <si>
    <t>Időskorúak nappali intézményi ellátása</t>
  </si>
  <si>
    <t>III.3.i)</t>
  </si>
  <si>
    <t>Hajléktalanok nappali intézményi ellátása</t>
  </si>
  <si>
    <t>III.3.j)</t>
  </si>
  <si>
    <t>Gyermekek napközbeni ellátása</t>
  </si>
  <si>
    <t>Felsőfokú végzettségű kisgyermeknevelők bértám.</t>
  </si>
  <si>
    <t>Bölcsődei dajkák, középfokú végzettségű kisgyermeknevelők bértám.</t>
  </si>
  <si>
    <t>Bölcsődei üzemeltetési támogatás</t>
  </si>
  <si>
    <t>III.3.k)</t>
  </si>
  <si>
    <t>Hajléktalanok átmeneti intézményei</t>
  </si>
  <si>
    <t>III.3.</t>
  </si>
  <si>
    <t>Egyes szociális és gyermekjóléti feladatok támogatása összesen</t>
  </si>
  <si>
    <t>III.4.</t>
  </si>
  <si>
    <t>Idősek átmeneti és tartós valamint  hajléktalanok szociális, szakosított ellátási feladatainak támogatása</t>
  </si>
  <si>
    <t>III.4.a)</t>
  </si>
  <si>
    <t>Szakmai dolgozók bértámogatása</t>
  </si>
  <si>
    <t>III.4.b)</t>
  </si>
  <si>
    <t>Üzemeltetési támogatás</t>
  </si>
  <si>
    <t>III.5.</t>
  </si>
  <si>
    <t>Ingyenes és kedvezményes gyermekétkeztetés támogatása</t>
  </si>
  <si>
    <t>III.5.a</t>
  </si>
  <si>
    <t>dolgozók bértámogatása</t>
  </si>
  <si>
    <t>III.5.b</t>
  </si>
  <si>
    <t>üzemeltetési támogatás</t>
  </si>
  <si>
    <t>III.5.c</t>
  </si>
  <si>
    <t>Rászoruló gyermekek szünidei étkeztetése</t>
  </si>
  <si>
    <t>B113-00</t>
  </si>
  <si>
    <t>III.</t>
  </si>
  <si>
    <t>Szociális és gyermekjóléti feladatok támogatása összesen</t>
  </si>
  <si>
    <t>B114-00</t>
  </si>
  <si>
    <t>IV.</t>
  </si>
  <si>
    <t xml:space="preserve">Könyvtári, közművelődési és  múzeumi feladatok támogatása </t>
  </si>
  <si>
    <t>IV.1.d)</t>
  </si>
  <si>
    <t>Nyilvános könyvtári ellátás</t>
  </si>
  <si>
    <t>IV.1.e)</t>
  </si>
  <si>
    <t>Muzeális intézményi feladatok támogatása</t>
  </si>
  <si>
    <t>B115-00</t>
  </si>
  <si>
    <t>Működési célú központosított támogatások</t>
  </si>
  <si>
    <t>3.sz.melléklet 15. pont</t>
  </si>
  <si>
    <t>Szociális ágazati pótlék</t>
  </si>
  <si>
    <t>Költségvetési támogatás összesen</t>
  </si>
  <si>
    <t>7/2019.(VI.27.) önkormányzati rendelettel módosított előirányzat</t>
  </si>
  <si>
    <t xml:space="preserve">10/2019. IX.26.) önkormányzati rendelettel módosított előirányzat </t>
  </si>
  <si>
    <t>10/2019. (IX.26.) önkormányzati rendelettel módosított előirányzat</t>
  </si>
  <si>
    <t>Módosított 
előirányzat</t>
  </si>
  <si>
    <t>10/2019. (IX.26) Módosított előirányzat</t>
  </si>
  <si>
    <t>10/2019. (XI.26.) önkormányzati rendelettel módosított előirányzat</t>
  </si>
  <si>
    <t>16/2019. (XI.28.) önkormányzati rendelettel módosított előirányzat</t>
  </si>
  <si>
    <t>Köztemetés</t>
  </si>
  <si>
    <t>Rendkívüli települési támogatás - rendkívüli  élethelyzet</t>
  </si>
  <si>
    <t>Települési támogatás - gyógyszertámogatás</t>
  </si>
  <si>
    <t>Rendkívüli települési támogatás - "újszülöttek támogatása"</t>
  </si>
  <si>
    <t>Szemétszállítási díjkedvezmény</t>
  </si>
  <si>
    <t>Gyógyfürdő-ellátási támogatás</t>
  </si>
  <si>
    <t>Továbbtanuló diákok támogatása (BURSA)</t>
  </si>
  <si>
    <t xml:space="preserve">Időskorúak juttatása </t>
  </si>
  <si>
    <t>Intézmény megnevezése</t>
  </si>
  <si>
    <t>Köztisztvi-selő</t>
  </si>
  <si>
    <t>Választott képviselő</t>
  </si>
  <si>
    <t xml:space="preserve">      Közalkalma-zottak</t>
  </si>
  <si>
    <t>Közfoglalkoz-tatott</t>
  </si>
  <si>
    <t>ebből:</t>
  </si>
  <si>
    <t>Engedé-lyezett össz létszám</t>
  </si>
  <si>
    <t>pedagógus</t>
  </si>
  <si>
    <t>nevelő munkát közvetlen segítő</t>
  </si>
  <si>
    <t>fő</t>
  </si>
  <si>
    <t>Polgármester, Alpolgármester ( Önkormányzat)</t>
  </si>
  <si>
    <t>Önkormányzati képviselők</t>
  </si>
  <si>
    <t>Mezőgazdasági felad.(mezőőri őrszolg.)</t>
  </si>
  <si>
    <t>Közvetett támogatások</t>
  </si>
  <si>
    <t>Helyi iparűzési adó</t>
  </si>
  <si>
    <t xml:space="preserve">A helyi adókról szóló 51/2011. (XII.15.) MÖKT rendelet 14. § (1) és (2) bekezdése alapján mentes a helyi iparűzési adó fizetése alól a kezdő vállalkozó a kezdés évében, amennyiben a vállalkozási szintű iparűzési adóalapja nem haladja meg a 2,5 millió forintot, illetve a háziorvos védőnő vállalkozó, amennyiben a vállalkozási szintű iparűzési adóalapja az adóévben nem haladja meg a 20 millió forintot. </t>
  </si>
  <si>
    <t>Telekadó:</t>
  </si>
  <si>
    <t>Magánszemély kommunális adója:</t>
  </si>
  <si>
    <t>ezer Ft-ban</t>
  </si>
  <si>
    <t>Kötelezettség fajta</t>
  </si>
  <si>
    <t>Makó Város Önkormányzat hitel- kamatfizetési kötelezettségei</t>
  </si>
  <si>
    <t>Hitel megnevezése</t>
  </si>
  <si>
    <t>Felvett hitel összege</t>
  </si>
  <si>
    <t>I. negyedév</t>
  </si>
  <si>
    <t>II. negyedév</t>
  </si>
  <si>
    <t>III. negyedév</t>
  </si>
  <si>
    <t>IV. negyedév</t>
  </si>
  <si>
    <t>tőke törlesztés</t>
  </si>
  <si>
    <t>kamatfi-zetés</t>
  </si>
  <si>
    <t>kamatfize-tés</t>
  </si>
  <si>
    <t>kamatfizetés</t>
  </si>
  <si>
    <t>Panel Plusz hitel</t>
  </si>
  <si>
    <t>Önkormányzati fejlesztési hitel</t>
  </si>
  <si>
    <t>Kötvény B</t>
  </si>
  <si>
    <t>Kötvény F</t>
  </si>
  <si>
    <t>Sor-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</si>
  <si>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</si>
  <si>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</si>
  <si>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</si>
  <si>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</si>
  <si>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</si>
  <si>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</si>
  <si>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</si>
  <si>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</si>
  <si>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</si>
  <si>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</si>
  <si>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</si>
  <si>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</si>
  <si>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szám</t>
  </si>
  <si>
    <t>Betét felbontás</t>
  </si>
  <si>
    <t>Rendelkezésre álló fedezet</t>
  </si>
  <si>
    <t>Müködési kiadások</t>
  </si>
  <si>
    <t>adatok: ezer Ft-ban</t>
  </si>
  <si>
    <t>ebből: Kötelező feladat</t>
  </si>
  <si>
    <t>Önként vállat feladat</t>
  </si>
  <si>
    <t>Makó Város Önkormányzata</t>
  </si>
  <si>
    <t>B11</t>
  </si>
  <si>
    <t>Önkormányzatok működési támogatásai</t>
  </si>
  <si>
    <t>K1</t>
  </si>
  <si>
    <t>Személyi juttatások</t>
  </si>
  <si>
    <t>B12-16</t>
  </si>
  <si>
    <t>Egyéb műk. célú támogatások áh. belül</t>
  </si>
  <si>
    <t>K2</t>
  </si>
  <si>
    <t>Munkaadót terhelő járulékok és szoc.adó</t>
  </si>
  <si>
    <t>B4</t>
  </si>
  <si>
    <t>Működési bevételek</t>
  </si>
  <si>
    <t>K3</t>
  </si>
  <si>
    <t>Dologi kiadások</t>
  </si>
  <si>
    <t>B6</t>
  </si>
  <si>
    <t>Működési célú átvett pénzeszközök</t>
  </si>
  <si>
    <t>K4</t>
  </si>
  <si>
    <t>Ellátottak pénzbeli juttatásai</t>
  </si>
  <si>
    <t>K502-512</t>
  </si>
  <si>
    <t>Egyéb működési célú támogatások</t>
  </si>
  <si>
    <t>K513</t>
  </si>
  <si>
    <t>Tartalékok</t>
  </si>
  <si>
    <t>Működési  bevételek összesen:</t>
  </si>
  <si>
    <t>Működési kiadások összesen:</t>
  </si>
  <si>
    <t>B2</t>
  </si>
  <si>
    <t>Felhalmozási célú tám. Áh. Belül</t>
  </si>
  <si>
    <t>K6</t>
  </si>
  <si>
    <t>Beruházások</t>
  </si>
  <si>
    <t>B3</t>
  </si>
  <si>
    <t>Közhatalmi bevételek</t>
  </si>
  <si>
    <t>K7</t>
  </si>
  <si>
    <t>Felújítások</t>
  </si>
  <si>
    <t>B5</t>
  </si>
  <si>
    <t>Felhalmozási bevételek</t>
  </si>
  <si>
    <t>K8</t>
  </si>
  <si>
    <t>Egyéb felhalmozási kiadások</t>
  </si>
  <si>
    <t>B7</t>
  </si>
  <si>
    <t>Felhalmozási célú átvett pénzeszközök</t>
  </si>
  <si>
    <t>Felhalmozási bevételek összesen:</t>
  </si>
  <si>
    <t>Felhalmozási kiadások összesen:</t>
  </si>
  <si>
    <t>Költségvetési bevétel összesen:</t>
  </si>
  <si>
    <t>Költségvetési kiadások összesen:</t>
  </si>
  <si>
    <t>B812</t>
  </si>
  <si>
    <t>K914</t>
  </si>
  <si>
    <t>Államht.-n belüli megelőlegezések</t>
  </si>
  <si>
    <t>B813</t>
  </si>
  <si>
    <t>Maradvány igénybevétele</t>
  </si>
  <si>
    <t>K915</t>
  </si>
  <si>
    <t>Finanszirozási kiadások</t>
  </si>
  <si>
    <t>Bevétel mindösszesen:</t>
  </si>
  <si>
    <t>Kiadások mindösszesen:</t>
  </si>
  <si>
    <t>B816</t>
  </si>
  <si>
    <t>Finanszírozási bevétel</t>
  </si>
  <si>
    <t xml:space="preserve">Makó Város Önkormányzata összesen: </t>
  </si>
  <si>
    <t>Egyéb működési célú kiadások</t>
  </si>
  <si>
    <t>Az európai uniós támogatással megvalósuló programok, projektek bevételei, kiadásai</t>
  </si>
  <si>
    <t xml:space="preserve">EU-s projekt neve, azonosítója: </t>
  </si>
  <si>
    <t>Források</t>
  </si>
  <si>
    <t>Saját erő</t>
  </si>
  <si>
    <t>- saját erőből központi támogatás /EU önerő alap/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</si>
  <si>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</si>
  <si>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</si>
  <si>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</si>
  <si>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</si>
  <si>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</si>
  <si>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</si>
  <si>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 (járulékkal)</t>
  </si>
  <si>
    <t>Beruházás, felújítás</t>
  </si>
  <si>
    <t>2015 után</t>
  </si>
  <si>
    <t>Makói Paktum - helyi foglalkoztatási együttműködések kialakítása, TOP-5.1.2-15-CS1-2016-00002</t>
  </si>
  <si>
    <t>EU-s projekt neve, azonosítója:</t>
  </si>
  <si>
    <t>2020. évi eredeti előirányzat</t>
  </si>
  <si>
    <t>2020. évi eredeti 
előirányzat</t>
  </si>
  <si>
    <t>Ped. nevelő munkáját segítők kiegészítő tám.</t>
  </si>
  <si>
    <t>Víziközmű</t>
  </si>
  <si>
    <t>Lakossági kifizetés Víziközmű Társulat megszűnése után</t>
  </si>
  <si>
    <t>Összeg(ezer Ft)</t>
  </si>
  <si>
    <t>Makó Város Önkormányzatának címrendje</t>
  </si>
  <si>
    <t>Cím</t>
  </si>
  <si>
    <t>Alcím</t>
  </si>
  <si>
    <t>Költségvetési szerv neve</t>
  </si>
  <si>
    <t>1.1.</t>
  </si>
  <si>
    <t xml:space="preserve"> 1.2.</t>
  </si>
  <si>
    <t xml:space="preserve"> 1.3.</t>
  </si>
  <si>
    <t xml:space="preserve"> 1.4.</t>
  </si>
  <si>
    <t xml:space="preserve"> 1.5.</t>
  </si>
  <si>
    <t>Makói  Egyesített Népjóléti Intézmény</t>
  </si>
  <si>
    <t>Makó Város Fejlődéséért Közalapítvány támogatása (beiskolázási támogatás)</t>
  </si>
  <si>
    <t xml:space="preserve"> TOP-4.3.1-15-CS1-2016-00003  Makó Honvéd városi központ megújítása</t>
  </si>
  <si>
    <t>TOP-5.2.1-15-CS1-2016-00002 Makó Honvéd városrészének megújítása</t>
  </si>
  <si>
    <t>Makói művészeti csoportok, egyesületek, egyházak, sportszervek, civil szervezetek támogatása</t>
  </si>
  <si>
    <t>A</t>
  </si>
  <si>
    <t>B</t>
  </si>
  <si>
    <t>C</t>
  </si>
  <si>
    <t>D</t>
  </si>
  <si>
    <t>E</t>
  </si>
  <si>
    <t>F</t>
  </si>
  <si>
    <t>Ellenőrző pont</t>
  </si>
  <si>
    <t>Ellenőrző pont1</t>
  </si>
  <si>
    <t>Ellenőrző pont2</t>
  </si>
  <si>
    <t>Ellenőrző pont3</t>
  </si>
  <si>
    <t>G</t>
  </si>
  <si>
    <t>H</t>
  </si>
  <si>
    <t>I</t>
  </si>
  <si>
    <t>J</t>
  </si>
  <si>
    <t>K</t>
  </si>
  <si>
    <t>L</t>
  </si>
  <si>
    <t>M</t>
  </si>
  <si>
    <t>Település üzemeltetési és egyéb önkormányzati feladatok támogatása</t>
  </si>
  <si>
    <t>Család- és gyermekjóléti központ</t>
  </si>
  <si>
    <t>Óvodai és iskolai szociális segítő tevékenység kieg. támogatása</t>
  </si>
  <si>
    <t>MAKÓI Szolgáltató Nonprofit Zrt</t>
  </si>
  <si>
    <t>Kiadás összesen:</t>
  </si>
  <si>
    <t>Makó és Térsége Szennyvízcsatornázási társulás maradványa kapcsolódó célok megvalósítására</t>
  </si>
  <si>
    <t>TOP-1.2.1-16-CS1-2017-00008 Igazgyöngyök útja</t>
  </si>
  <si>
    <t xml:space="preserve"> EFOP-1.5.3-16-2017-00037 Humán szolgáltatások fejlesztése - Értékközvetítés</t>
  </si>
  <si>
    <t>EFOP-3.9.2-16-2017-00023 Humán kapacitások fejlesztése térségi szemléletben - Esélyteremtés</t>
  </si>
  <si>
    <t>Egyéb tárgyieszköz beszerzés (klíma, tűzoltókészülékek, informatikai eszközök)</t>
  </si>
  <si>
    <t xml:space="preserve">ENI tárgyi eszközök beszerzése </t>
  </si>
  <si>
    <t>Beruházások (K6)</t>
  </si>
  <si>
    <t>Működési célú átvett pénzeszközök (B6)</t>
  </si>
  <si>
    <t>Működési bevételek (B4)</t>
  </si>
  <si>
    <t>Működési célú támogatások államháztartáson belülről (B1)</t>
  </si>
  <si>
    <t>Felhalmozási célú átvett pénzeszközök (B7)</t>
  </si>
  <si>
    <t>24.</t>
  </si>
  <si>
    <t>25.</t>
  </si>
  <si>
    <t>26.</t>
  </si>
  <si>
    <t>27.</t>
  </si>
  <si>
    <t>Államig. feladat</t>
  </si>
  <si>
    <t>4. Közhatalmi bevételek (B3)</t>
  </si>
  <si>
    <t>4.2. Vagyoni típusú adók (B34)</t>
  </si>
  <si>
    <t>4.1. Magánszemélyek jövedelemadói (B311)</t>
  </si>
  <si>
    <t>4.3. Termékek és szolgáltatások adói (B35)</t>
  </si>
  <si>
    <t>4.4. Egyéb közhatalmi bevételek (B36)</t>
  </si>
  <si>
    <t>Előirányzat
4/2020. (III.05.) önkormányzati rendelet</t>
  </si>
  <si>
    <t xml:space="preserve"> Felhalmozási bevétel (B21, B23, B25, B5, B7)</t>
  </si>
  <si>
    <t>30.</t>
  </si>
  <si>
    <t>Előirányzat
 5./2021. (II.25.) polgármesteri rendelet</t>
  </si>
  <si>
    <t xml:space="preserve">E </t>
  </si>
  <si>
    <t>B116-00</t>
  </si>
  <si>
    <t>Elszámolásból származó bevételek</t>
  </si>
  <si>
    <t>Felnőttorvosi körzet</t>
  </si>
  <si>
    <t>Marosmenti Polgárőr Egyesület</t>
  </si>
  <si>
    <t>Continental dolgozók támogatása</t>
  </si>
  <si>
    <t>EFOP 1.5.3.</t>
  </si>
  <si>
    <t>EFOP3.9.2.</t>
  </si>
  <si>
    <t xml:space="preserve">Hulladékszigetek kialakítása </t>
  </si>
  <si>
    <t>Hagymatikum bővítés 9 Mrd.</t>
  </si>
  <si>
    <t>Hagymatikum kiegészítő támogatás 1,05Mrd</t>
  </si>
  <si>
    <t xml:space="preserve">Városüzemeltetés </t>
  </si>
  <si>
    <t>A helyi adókról szóló 51/2011. (XII.15.) MÖKT rendelet 7. § a) pontja alapján adómentes az a 65. életévét betöltött magánszemély, aki a telek tulajdonjogával rendelkezik, kivéve, ha az vállalkozás céljára kerül hasznosításra, 7. § b) pont rendelkezik a magánszemélyt megillető adómentességről 800 m2 teleknagyság után.</t>
  </si>
  <si>
    <t>A helyi adókról szóló 51/2011. (XII.15.) MÖKT rendelet 9. § a) pontja alapján adómentes a 65. életévét betöltött magánszemély, aki lakás, valamint hozzátartozó garázs tulajdonjogával rendelkezik. Ezen mentesség csak a lakáshoz tartozó egy garázs után vehető igénybe. A helyi adókról szóló 51/2011. (XII.15.) MÖKT rendelet 9. § b) pontja alapján adómentes a 65. életévét betöltött magánszemély, aki önkormányzati bérlemény bérleti jogával rendelkezik.</t>
  </si>
  <si>
    <t>Ssz.</t>
  </si>
  <si>
    <t>Egyéb kiadások</t>
  </si>
  <si>
    <t>Önkormányzatok működési támogatása (B11)</t>
  </si>
  <si>
    <t>Nyugdíjasklubok támogatása</t>
  </si>
  <si>
    <t>Natura Művésztelep + Ifjúsági Művésztelep</t>
  </si>
  <si>
    <t>Bevételek együtt (1-7-ig)</t>
  </si>
  <si>
    <t>Kiadások együtt  (12-14-ig)</t>
  </si>
  <si>
    <t>Egyenleg (11-15)</t>
  </si>
  <si>
    <t>N</t>
  </si>
  <si>
    <t>Előirányzat
3/2022. (II.10.) önkormányzati rendelet</t>
  </si>
  <si>
    <t>2023. évi eredeti előirányzat</t>
  </si>
  <si>
    <t xml:space="preserve">Makói Paktum -helyi foglalkoztatás </t>
  </si>
  <si>
    <t xml:space="preserve">Kálvin téri Bölcsőde felújítása </t>
  </si>
  <si>
    <t xml:space="preserve">Ingatlan beszerzés </t>
  </si>
  <si>
    <t>József Attila Városi Könyvtár és Múzeum -( könyvbeszerzés)</t>
  </si>
  <si>
    <t xml:space="preserve">Ár- és belvízvédekezés </t>
  </si>
  <si>
    <t>Települési önkormányzatok kulturális feladatainak bérjellegű támogatása</t>
  </si>
  <si>
    <t>Munka törvénykönyve hatálya alá tartozók</t>
  </si>
  <si>
    <t>Időskorúk juttatása</t>
  </si>
  <si>
    <t xml:space="preserve">Rendkívüli települési támogatás - "újszülöttek támogatása"  </t>
  </si>
  <si>
    <t>Rendezvény (újszülöttek támogatása)</t>
  </si>
  <si>
    <t>Egyházak támogatása</t>
  </si>
  <si>
    <t>Beiskolázási támogatás-  Makó Város Fejl. Közalapítvány</t>
  </si>
  <si>
    <t>ENI felújítás</t>
  </si>
  <si>
    <t>Makói Hivatásos Tűzoltó-parancsnokság</t>
  </si>
  <si>
    <t>Művészeti csoportok, egyesületek támogatása</t>
  </si>
  <si>
    <t>Előirányzat
1./2023. (II.23.) önkormányzati rendelet</t>
  </si>
  <si>
    <t>adatok forintban</t>
  </si>
  <si>
    <t>3.2 Felhalmozási célú visszatérítendő támogatás, kölcsön nyújtása államháztartáson kívülre (K86)</t>
  </si>
  <si>
    <t>Diabétesz ellátási pótlék</t>
  </si>
  <si>
    <t>3.4 Egyéb felhalmozási célú támogatások államháztartáson kívülre (K89)</t>
  </si>
  <si>
    <t>Makói Óvoda eszközbeszerzés</t>
  </si>
  <si>
    <t>Petőfi park turull madár</t>
  </si>
  <si>
    <t>Maros-parti emlékhely kialakítása</t>
  </si>
  <si>
    <t>Makói Szolgáltató Zrt tőkeemelés</t>
  </si>
  <si>
    <t>Jelzőrendszeres házi segítségnyújtás</t>
  </si>
  <si>
    <t>Szennyvíztársulás</t>
  </si>
  <si>
    <t>Makó Város Fejlődéséért Közalapítvány támogatása (Pedagógus-napi jutalmazás)</t>
  </si>
  <si>
    <t>Pályázat magántulajdonú ingatlanok felújítására, korszerűsítésére (visszatérítendő)</t>
  </si>
  <si>
    <t>Működési célú visszatérítendő t ámogatások, kölcsönök visszatérülése államháztartáson belülről (B14)</t>
  </si>
  <si>
    <t xml:space="preserve"> Önkormányzatok működési támogatása (B1)</t>
  </si>
  <si>
    <t>TOP-PLUSZ-1.3.1-21-CS1-2022-00007 Fenntartható városfejlesztési stratégia - Makó</t>
  </si>
  <si>
    <t>Egészségügyi szolgálati jogviszony</t>
  </si>
  <si>
    <t>Köznevelési jogviszony</t>
  </si>
  <si>
    <t>5.2 Egyéb működési célú támogatások államháztartáson belülre (K506)</t>
  </si>
  <si>
    <t>5.3 Egyéb működési célú támogatások államháztartáson kívülre (K512)</t>
  </si>
  <si>
    <t>Makó Ipari Park infrastrukturális fejlesztése</t>
  </si>
  <si>
    <t>Makói Közös Önkormányzati Hivatal</t>
  </si>
  <si>
    <t>2025. évi eredeti előirányzat</t>
  </si>
  <si>
    <t>2025 után</t>
  </si>
  <si>
    <t>TOP_PLUSZ-3.4.1-23-MA1-2024-00001 A Makói Óvoda - Kálvin téri tagintézmény épületeinek korszerűsítése</t>
  </si>
  <si>
    <t>Makó Város Önkormányzata és intézményei 2025. évi költségvetési mérlegeinek bontása kötelező-, önként vállalt és államigazgatási feladatokra</t>
  </si>
  <si>
    <t>Makó Város Önkormányzata 2025. évi előirányzat-felhasználási ütemterv</t>
  </si>
  <si>
    <t>2024. dec.31. hitel-állomány</t>
  </si>
  <si>
    <t>2025. év</t>
  </si>
  <si>
    <t>2025. év összesen:</t>
  </si>
  <si>
    <r>
      <rPr>
        <sz val="14"/>
        <rFont val="Calibri"/>
        <family val="2"/>
        <charset val="238"/>
        <scheme val="minor"/>
      </rPr>
      <t>2026. évre áthúzódó kötelezettség összesen</t>
    </r>
    <r>
      <rPr>
        <b/>
        <sz val="14"/>
        <rFont val="Calibri"/>
        <family val="2"/>
        <charset val="238"/>
        <scheme val="minor"/>
      </rPr>
      <t xml:space="preserve">: </t>
    </r>
  </si>
  <si>
    <t>Makó Város Önkormányzata 2026. évre áthúzódó kötelezettségek</t>
  </si>
  <si>
    <t>2025. évi  előirányzat</t>
  </si>
  <si>
    <t>2026. évi 
előirányzat</t>
  </si>
  <si>
    <t>2027. évi
előirányzat</t>
  </si>
  <si>
    <t>Előirányzat
 1./2024. (II.22.) önkormányzati rendelet</t>
  </si>
  <si>
    <t xml:space="preserve">Makó Város Önkormányzata 2025. évi cél- és általános tartalékok előirányzata </t>
  </si>
  <si>
    <t xml:space="preserve">              Makó Város Önkormányzata költségvetési szerveinek engedélyezett létszámkerete 2025. január  01-től</t>
  </si>
  <si>
    <t>Makó Város Önkormányzata alapítványok, társadalmi és egyéb szervek, szervezetek 2025. évi támogatásának előirányzata</t>
  </si>
  <si>
    <t>MAKÓI Szolgáltató Nonprofit Zrt - kulturális feladatok bérjellegű támogatása</t>
  </si>
  <si>
    <t>Makó Város Önkormányzata 2025. évi társadalmi, szociálpolitikai támogatásának előirányzata</t>
  </si>
  <si>
    <t>Előirányzat
1./2024. (II)22. önkormányzati rendelet</t>
  </si>
  <si>
    <t xml:space="preserve">Makó Város Önkormányzata 2025. évi beruházási kiadásainak előirányzata </t>
  </si>
  <si>
    <t>Előirányzat
1./2024. (II.22.) önkormányzati rendelet</t>
  </si>
  <si>
    <t>2025. évi normatív támogatások</t>
  </si>
  <si>
    <t>2. Makói Közös Önkormányzati Hivatal</t>
  </si>
  <si>
    <t>2025. évre várható mentesség összege: 3.000.000.- Ft.</t>
  </si>
  <si>
    <t>Az adómentesség összege 2025. évben várhatóan: 250.000.- Ft.</t>
  </si>
  <si>
    <t>Méltányosság címen 2025. évben 1.000.- Ft telekadó kerülhet törlésre.</t>
  </si>
  <si>
    <t>Az adómentesség összege 2025. évben várhatóan: 44.000.000.- Ft.</t>
  </si>
  <si>
    <t>Méltányosság címen 2025. évben 350.000.- Ft magánszemély kommunális adója kerülhet törlésre.</t>
  </si>
  <si>
    <t>József Attila Gimnázium támogatása</t>
  </si>
  <si>
    <t>2028. évi
előirányzat</t>
  </si>
  <si>
    <t xml:space="preserve">   Makó Város Önkormányzat működési és felhalmozási célú bevételek és kiadások alakulását bemutató mérleg 2025-2028.</t>
  </si>
  <si>
    <t>TOP Plusz Tervezési díjak , tanulmányok</t>
  </si>
  <si>
    <t>Makói Közös Hivatal eszközbeszerzés</t>
  </si>
  <si>
    <t>Közvilágítási rendszer tervezés</t>
  </si>
  <si>
    <t xml:space="preserve"> Polgármesteri illetményhez és költségtérítéshez nyújtott támogatás</t>
  </si>
  <si>
    <t>Makó Város Önkormányzata 2025. évi felújítási kiadásainak előirányzata</t>
  </si>
  <si>
    <t>3. Betét felbontás (B812)</t>
  </si>
  <si>
    <t xml:space="preserve">2. </t>
  </si>
  <si>
    <t>2.1.</t>
  </si>
  <si>
    <t>Makó Székhelytelepülés</t>
  </si>
  <si>
    <t>2.2.</t>
  </si>
  <si>
    <t>Ambrózfalvi Kirendeltség</t>
  </si>
  <si>
    <t>2.3.</t>
  </si>
  <si>
    <t>Királyhegyesi Kirendeltség</t>
  </si>
  <si>
    <t>2.4.</t>
  </si>
  <si>
    <t>Magyarcsanádi Kirendeltség</t>
  </si>
  <si>
    <t>2.5.</t>
  </si>
  <si>
    <t>Nagylaki Kirendeltség</t>
  </si>
  <si>
    <t>8. melléklet MAKÓ VÁROS ÖNKORMÁNYZATÁNAK 2/2025.(II.20.) SZÁMÚ ÖNKORMÁNYZATI RENDELETÉHEZ</t>
  </si>
  <si>
    <t>9. melléklet MAKÓ VÁROS ÖNKORMÁNYZATÁNAK 2/2025.(II.20.) SZÁMÚ ÖNKORMÁNYZATI RENDELETÉHEZ</t>
  </si>
  <si>
    <t>12. melléklet MAKÓ VÁROS ÖNKORMÁNYZATÁNAK 2/2025.(II.20.) SZÁMÚ ÖNKORMÁNYZATI RENDELETÉHEZ</t>
  </si>
  <si>
    <t>13. melléklet MAKÓ VÁROS ÖNKORMÁNYZATÁNAK 2/2025.(II.20.) SZÁMÚ ÖNKORMÁNYZATI RENDELETÉHEZ</t>
  </si>
  <si>
    <t>14. melléklet MAKÓ VÁROS ÖNKORMÁNYZATÁNAK 2/2025.(II.20.) SZÁMÚ ÖNKORMÁNYZATI RENDELETÉHEZ</t>
  </si>
  <si>
    <t>15. melléklet MAKÓ VÁROS ÖNKORMÁNYZATÁNAK 2/2025.(II.20.) SZÁMÚ ÖNKORMÁNYZATI RENDELETÉHEZ</t>
  </si>
  <si>
    <t>16. melléklet MAKÓ VÁROS ÖNKORMÁNYZATÁNAK 2/2025.(II.20.) SZÁMÚ ÖNKORMÁNYZATI RENDELETÉHEZ</t>
  </si>
  <si>
    <t>18. melléklet MAKÓ VÁROS ÖNKORMÁNYZATÁNAK 2/2025.(II.20.) SZÁMÚ ÖNKORMÁNYZATI RENDELETÉHEZ</t>
  </si>
  <si>
    <t>Előirányzat
2/2025.(II.20.) önkormányzati rendelet</t>
  </si>
  <si>
    <t>Előirányzat
2/2025. (II.20.) önkormányzati rendelet</t>
  </si>
  <si>
    <t>Módosított előirányzat</t>
  </si>
  <si>
    <t xml:space="preserve">2. ÁH-n belüli megelőlegezések (B814) </t>
  </si>
  <si>
    <t>3. Központi,irányító szervi támogatás. (B816)</t>
  </si>
  <si>
    <t>4. Betét felbontás (B812)</t>
  </si>
  <si>
    <t>TOP-PLUSZ-3.4.1-23-MA1-2024-00001 A makói óvoda - Kálvin téri tagintézmény ép-nek korszrűsítése</t>
  </si>
  <si>
    <t>TOP-PLUSZ-3.4.1-23-MA1-2024-00002 -A Makói Óvoda Kassai utcai épület korszerűsítése</t>
  </si>
  <si>
    <t>Közfoglalkoztatási programok</t>
  </si>
  <si>
    <t>Gyepmesteri Telep kennelek beszerzése</t>
  </si>
  <si>
    <t>Tisztítsuk meg városunkat II. pályázat fel nem használt támogatás</t>
  </si>
  <si>
    <t>Makó Városért díj</t>
  </si>
  <si>
    <t>Alapítvány a Makói Általános Iskoláért</t>
  </si>
  <si>
    <t>Nagy Judit</t>
  </si>
  <si>
    <t>Maros Táncegyüttes Baráti Köre</t>
  </si>
  <si>
    <t>Makó és Térsége Turisztikai Egyesület</t>
  </si>
  <si>
    <t>Nefelejcs Népdalkör</t>
  </si>
  <si>
    <t>Makói Múzeumért És Kultúráért Alapítvány</t>
  </si>
  <si>
    <t>Maros-parti Veteránjármûveket Kedvelõk Sportegyesülete</t>
  </si>
  <si>
    <t>Volánbusz Zrt. -  helyi közforgalmú menetrend szerinti autóbusz közlekedés támogatása</t>
  </si>
  <si>
    <t>28.</t>
  </si>
  <si>
    <t>Makói Közös Önkormányzati Hivatalhoz Társult települések 2024/12 havi bértámogatása</t>
  </si>
  <si>
    <t>TOP_PLUSZ-1.3.2-23 Járda és úthálózat fejlesztése</t>
  </si>
  <si>
    <t>TOP_PLUSZ-3.4.1-23 Iskola orvosi rendelő megvalósítása</t>
  </si>
  <si>
    <t xml:space="preserve">TOP_PLUSZ-6.2.1-23 Helyi és térségi turizmusfejl. - Belváros </t>
  </si>
  <si>
    <t>Makói Óvoda felújítás</t>
  </si>
  <si>
    <t>ÁH-n belüli megelőlegezések (B814)</t>
  </si>
  <si>
    <t>Makó Város Önkormányzata 2025. évi működési és felhalmozási célú bevételeinek és kiadásainak  mérlege</t>
  </si>
  <si>
    <t>ÁH-n belüli megelőlegezések(B814)</t>
  </si>
  <si>
    <t>Előirányzat 13/2025. (VI.26.) önkormányzati rendelet</t>
  </si>
  <si>
    <t xml:space="preserve">F </t>
  </si>
  <si>
    <t>adatok e Ft-ban</t>
  </si>
  <si>
    <t>MAKÓI Szolgáltató Nonprofit Zrt -Makó Posta 2. működtetése</t>
  </si>
  <si>
    <t>Napsugár az Óvodában Alapítvány</t>
  </si>
  <si>
    <t>29.</t>
  </si>
  <si>
    <t>Újvárosi Nyugdíjasklub - Balla Jánosné</t>
  </si>
  <si>
    <t>Erdei Etelka Alapítvány</t>
  </si>
  <si>
    <t>31.</t>
  </si>
  <si>
    <t>György Éva Bruder János Kertbarát Kör</t>
  </si>
  <si>
    <t>32.</t>
  </si>
  <si>
    <t>Makó Mûvészeti Életéért Alapítvány  (Natura Mûvésztelep)</t>
  </si>
  <si>
    <t>33.</t>
  </si>
  <si>
    <t>Makó Város Fejlõdéséért Közalapítvány "Parajd"</t>
  </si>
  <si>
    <t>34.</t>
  </si>
  <si>
    <t>Makó Város Fejlõdéséért Közalapítvány</t>
  </si>
  <si>
    <t>35.</t>
  </si>
  <si>
    <t xml:space="preserve">Istók Margit Alapítvány  "Fogadj örökbe egy Istók-ház </t>
  </si>
  <si>
    <t>36.</t>
  </si>
  <si>
    <t>Dr Tóbiás Erzsébet - Tűmentes oltás -</t>
  </si>
  <si>
    <t>37.</t>
  </si>
  <si>
    <t>38.</t>
  </si>
  <si>
    <t>"MAKÓ ÉS TÉRSÉGE" IVÓVÍZMINŐSÉG-JAVÍTÓ ÖNKORMÁNYZATI TÁRSULÁS működési hozzájárulás</t>
  </si>
  <si>
    <t>TOP_PLUSZ-2.1.2-21 Hagymatikum és Korona épületeinek felújítása - fenntartható energiahatékonyság</t>
  </si>
  <si>
    <t>Hajléktalan-szálló</t>
  </si>
  <si>
    <t>Finanszírozási célú kiadás mindösszesen:</t>
  </si>
  <si>
    <t>Finanszírozási bevétel mindösszesen:</t>
  </si>
  <si>
    <t>1. melléklet MAKÓ VÁROS ÖNKORMÁNYZATÁNAK 2/2025.(II.20.)  ÖNKORMÁNYZATI RENDELETÉHEZ</t>
  </si>
  <si>
    <t>Előirányzat 16/2025. (IX.25.) önkormányzati rendelet</t>
  </si>
  <si>
    <t>Módosította a 13/2025. (VI.26.) önkormányzati rendelet 2.§ (1) bekezdése, a 16/2025.(IX.25.) önkormányzati rendelet 2.§ (1) bekezdése és a 21/2025.(XII.11.) önkormányzati rendelet 2.§ (1) bekezdése  . Hatályos: 2025.december 12. napjától</t>
  </si>
  <si>
    <t>2. melléklet MAKÓ VÁROS ÖNKORMÁNYZATÁNAK 2/2025.(II.20.)  ÖNKORMÁNYZATI RENDELETÉHEZ</t>
  </si>
  <si>
    <t>Módosította a 13/2025. (VI.26.) önkormányzati rendelet 2.§ (2) bekezdése, a 16/2025. (IX.25.) önkormányzati rendelet 2.§ (2) bekezdése és a 21/2025.(XII.11.) önkormányzati rendelet 2.§ (2) bekezdése  . Hatályos: 2025.december 12. napjától</t>
  </si>
  <si>
    <t>3. melléklet MAKÓ VÁROS ÖNKORMÁNYZATÁNAK 2/2025.(II.20.)  ÖNKORMÁNYZATI RENDELETÉHEZ</t>
  </si>
  <si>
    <t>Módosította a 13/2025. (VI.26.) önkormányzati rendelet 2.§ (3) bekezdése, a 16/2025. (IX.25.) önkormányzati rendelet 2.§ (3) bekezdése és a 21/2025.(XII.11.) önkormányzati rendelet 2.§ (3) bekezdése  . Hatályos: 2025.december 12. napjától</t>
  </si>
  <si>
    <t>4. melléklet MAKÓ VÁROS ÖNKORMÁNYZATÁNAK 2/2025.(II.20.)  ÖNKORMÁNYZATI RENDELETÉHEZ</t>
  </si>
  <si>
    <t>Módosította a 13/2025. (VI.26.) önkormányzati rendelet 2.§ (4) bekezdése, a 16/2025. (IX.25.) önkormányzati rendelet 2.§ (4) bekezdése és a 21/2025.(XII.11.) önkormányzati rendelet 2.§ (4) bekezdése  . Hatályos: 2025.december 12. napjától</t>
  </si>
  <si>
    <t>5. melléklet MAKÓ VÁROS ÖNKORMÁNYZATÁNAK 2/2025.(II.20.)  ÖNKORMÁNYZATI RENDELETÉHEZ</t>
  </si>
  <si>
    <t>Módosította a 21/2025.(XII.11.) önkormányzati rendelet 2.§ (5) bekezdése  . Hatályos: 2025.december 12. napjától</t>
  </si>
  <si>
    <t>6. melléklet MAKÓ VÁROS ÖNKORMÁNYZATÁNAK 2/2025.(II.20.)  ÖNKORMÁNYZATI RENDELETÉHEZ</t>
  </si>
  <si>
    <t>Trényi Jánosné</t>
  </si>
  <si>
    <t>Almásis Diákokért Alapítvány</t>
  </si>
  <si>
    <t>Sztojkó Mihály Fég Nyugdíjasklub</t>
  </si>
  <si>
    <t>39.</t>
  </si>
  <si>
    <t>OLLEXIK VIKTOR ALAPÍTVÁNY</t>
  </si>
  <si>
    <t>40.</t>
  </si>
  <si>
    <t>Szenes Józsefné</t>
  </si>
  <si>
    <t>41.</t>
  </si>
  <si>
    <t>Diabéteszesek Dél-Alföldi Társulása</t>
  </si>
  <si>
    <t>42.</t>
  </si>
  <si>
    <t>43.</t>
  </si>
  <si>
    <t>Hadirokkantak.Hadiözvegyek és Hadiárvák Országos Nemzeti Szövetsége</t>
  </si>
  <si>
    <t>44.</t>
  </si>
  <si>
    <t>Kajtár Péterné</t>
  </si>
  <si>
    <t>45.</t>
  </si>
  <si>
    <t>46.</t>
  </si>
  <si>
    <t>47.</t>
  </si>
  <si>
    <t>7. melléklet MAKÓ VÁROS ÖNKORMÁNYZATÁNAK 2/2025.(II.20.)  ÖNKORMÁNYZATI RENDELETÉHEZ</t>
  </si>
  <si>
    <t>Versenyképes Járások 2025. - járdafelújítás</t>
  </si>
  <si>
    <t>10. melléklet MAKÓ VÁROS ÖNKORMÁNYZATÁNAK 2/2025.(II.20.)  ÖNKORMÁNYZATI RENDELETÉHEZ</t>
  </si>
  <si>
    <t xml:space="preserve">Módosította a 13/2025. (VI.26.) önkormányzati rendelet 2.§ (7) bekezdése és a 16/2025. (IX.25.) önkormányzati rendelet 2.§ (7) bekezdése és a 21/2025.(XII.11.) önkormányzati rendelet 2.§ (8) bekezdése. Hatályos: 2025.december 12. napjától  </t>
  </si>
  <si>
    <t xml:space="preserve">Módosította a 13/2025. (VI.26.) önkormányzati rendelet 2.§ (6) bekezdése, a 16/2025. (IX.25.) önkormányzati rendelet 2.§ (6) bekezdése és a 21/2025.(XII.11.) önkormányzati rendelet 2.§ (7) bekezdése. Hatályos: 2025.december 12. napjától  </t>
  </si>
  <si>
    <t xml:space="preserve">Módosította a 13/2025. (VI.26.) önkormányzati rendelet 2.§ (5) bekezdése, a 16/2025. (IX.25.) önkormányzati rendelet 2.§ (5) bekezdése és a 21/2025.(XII.11.) önkormányzati rendelet 2.§ (6) bekezdése. Hatályos: 2025.december 12. napjától </t>
  </si>
  <si>
    <t>11. melléklet MAKÓ VÁROS ÖNKORMÁNYZATÁNAK 2/2025.(II.20.)  ÖNKORMÁNYZATI RENDELETÉHEZ</t>
  </si>
  <si>
    <t xml:space="preserve">Módosította a 13/2025. (VI.26.) önkormányzati rendelet 2.§ (8) bekezdése,a 16/2025. (IXI.25.) önkormányzati rendelet 2.§ (8) bekezdése és a 21/2025.(XII.11.) önkormányzati rendelet 2.§ (9) bekezdése. Hatályos: 2025.december 12. napjától  </t>
  </si>
  <si>
    <t>17. melléklet MAKÓ VÁROS ÖNKORMÁNYZATÁNAK 2/2025.(II.20.)  ÖNKORMÁNYZATI RENDELETÉHEZ</t>
  </si>
  <si>
    <t xml:space="preserve">M </t>
  </si>
  <si>
    <t xml:space="preserve">Módosította a 13/2025. (VI.26.) önkormányzati rendelet 2.§ (9) bekezdése, a 16/2025. (IX.25.) önkormányzati rendelet 2.§ (9) bekezdése és a 21/2025.(XII.11.) önkormányzati rendelet 2.§ (10) bekezdése. Hatályos: 2025.december 12. napjától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</si>
</sst>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F_t_-;\-* #,##0\ _F_t_-;_-* &quot;-&quot;\ _F_t_-;_-@_-"/>
    <numFmt numFmtId="165" formatCode="_-* #,##0.00\ _F_t_-;\-* #,##0.00\ _F_t_-;_-* &quot;-&quot;??\ _F_t_-;_-@_-"/>
    <numFmt numFmtId="166" formatCode="#,##0;[Red]#,##0"/>
    <numFmt numFmtId="167" formatCode="#,##0_ ;\-#,##0\ "/>
    <numFmt numFmtId="168" formatCode="_-* #,##0\ _F_t_-;\-* #,##0\ _F_t_-;_-* &quot;-&quot;??\ _F_t_-;_-@_-"/>
    <numFmt numFmtId="169" formatCode="#,##0\ _F_t"/>
    <numFmt numFmtId="170" formatCode="_-* #,##0_-;\-* #,##0_-;_-* &quot;-&quot;??_-;_-@_-"/>
  </numFmts>
  <fonts count="5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libri"/>
      <charset val="238"/>
    </font>
    <font>
      <sz val="11"/>
      <color theme="1"/>
      <name val="Alibri"/>
      <charset val="238"/>
    </font>
    <font>
      <vertAlign val="superscript"/>
      <sz val="10"/>
      <name val="Alibri"/>
      <charset val="238"/>
    </font>
    <font>
      <b/>
      <sz val="11"/>
      <color theme="1"/>
      <name val="Alibri"/>
      <charset val="238"/>
    </font>
    <font>
      <b/>
      <sz val="10"/>
      <name val="Alibri"/>
      <charset val="238"/>
    </font>
    <font>
      <sz val="11"/>
      <name val="Alibri"/>
      <charset val="238"/>
    </font>
    <font>
      <b/>
      <sz val="11"/>
      <name val="Alibri"/>
      <charset val="238"/>
    </font>
    <font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3" fontId="1" fillId="3" borderId="3" xfId="0" applyNumberFormat="1" applyFont="1" applyFill="1" applyBorder="1"/>
    <xf numFmtId="3" fontId="0" fillId="0" borderId="3" xfId="0" applyNumberFormat="1" applyBorder="1"/>
    <xf numFmtId="3" fontId="0" fillId="3" borderId="3" xfId="0" applyNumberFormat="1" applyFill="1" applyBorder="1"/>
    <xf numFmtId="3" fontId="1" fillId="0" borderId="3" xfId="0" applyNumberFormat="1" applyFont="1" applyBorder="1"/>
    <xf numFmtId="1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3" fontId="0" fillId="0" borderId="3" xfId="0" applyNumberForma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  <xf numFmtId="14" fontId="2" fillId="0" borderId="3" xfId="0" applyNumberFormat="1" applyFont="1" applyBorder="1" applyAlignment="1">
      <alignment wrapText="1"/>
    </xf>
    <xf numFmtId="14" fontId="0" fillId="0" borderId="3" xfId="0" applyNumberFormat="1" applyBorder="1" applyAlignment="1">
      <alignment wrapText="1"/>
    </xf>
    <xf numFmtId="0" fontId="2" fillId="0" borderId="3" xfId="0" applyFont="1" applyBorder="1"/>
    <xf numFmtId="16" fontId="2" fillId="0" borderId="3" xfId="0" applyNumberFormat="1" applyFont="1" applyBorder="1"/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3" fontId="0" fillId="3" borderId="1" xfId="0" applyNumberFormat="1" applyFill="1" applyBorder="1"/>
    <xf numFmtId="3" fontId="2" fillId="3" borderId="1" xfId="0" applyNumberFormat="1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0" fillId="0" borderId="3" xfId="0" applyBorder="1" applyAlignment="1">
      <alignment vertical="center" wrapText="1"/>
    </xf>
    <xf numFmtId="3" fontId="1" fillId="0" borderId="5" xfId="0" applyNumberFormat="1" applyFont="1" applyBorder="1"/>
    <xf numFmtId="3" fontId="1" fillId="0" borderId="10" xfId="0" applyNumberFormat="1" applyFont="1" applyBorder="1"/>
    <xf numFmtId="166" fontId="0" fillId="0" borderId="3" xfId="0" applyNumberFormat="1" applyBorder="1"/>
    <xf numFmtId="3" fontId="1" fillId="0" borderId="11" xfId="0" applyNumberFormat="1" applyFont="1" applyBorder="1"/>
    <xf numFmtId="3" fontId="0" fillId="0" borderId="11" xfId="0" applyNumberFormat="1" applyBorder="1"/>
    <xf numFmtId="3" fontId="2" fillId="0" borderId="11" xfId="0" applyNumberFormat="1" applyFont="1" applyBorder="1"/>
    <xf numFmtId="3" fontId="0" fillId="0" borderId="12" xfId="0" applyNumberFormat="1" applyBorder="1"/>
    <xf numFmtId="167" fontId="0" fillId="0" borderId="3" xfId="0" applyNumberFormat="1" applyBorder="1"/>
    <xf numFmtId="3" fontId="0" fillId="0" borderId="0" xfId="0" applyNumberFormat="1"/>
    <xf numFmtId="167" fontId="0" fillId="0" borderId="3" xfId="5" applyNumberFormat="1" applyFont="1" applyFill="1" applyBorder="1" applyAlignment="1">
      <alignment horizontal="right"/>
    </xf>
    <xf numFmtId="0" fontId="6" fillId="0" borderId="0" xfId="0" applyFont="1"/>
    <xf numFmtId="0" fontId="6" fillId="3" borderId="7" xfId="0" applyFont="1" applyFill="1" applyBorder="1" applyAlignment="1">
      <alignment horizontal="right"/>
    </xf>
    <xf numFmtId="0" fontId="9" fillId="3" borderId="7" xfId="0" applyFont="1" applyFill="1" applyBorder="1"/>
    <xf numFmtId="3" fontId="10" fillId="3" borderId="7" xfId="0" applyNumberFormat="1" applyFont="1" applyFill="1" applyBorder="1"/>
    <xf numFmtId="3" fontId="10" fillId="3" borderId="3" xfId="0" applyNumberFormat="1" applyFont="1" applyFill="1" applyBorder="1"/>
    <xf numFmtId="3" fontId="11" fillId="0" borderId="3" xfId="0" applyNumberFormat="1" applyFont="1" applyBorder="1"/>
    <xf numFmtId="0" fontId="0" fillId="3" borderId="3" xfId="0" applyFill="1" applyBorder="1"/>
    <xf numFmtId="3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3" fontId="11" fillId="3" borderId="3" xfId="0" applyNumberFormat="1" applyFont="1" applyFill="1" applyBorder="1"/>
    <xf numFmtId="0" fontId="0" fillId="0" borderId="3" xfId="0" applyBorder="1" applyAlignment="1">
      <alignment horizontal="left"/>
    </xf>
    <xf numFmtId="0" fontId="3" fillId="3" borderId="3" xfId="0" applyFont="1" applyFill="1" applyBorder="1"/>
    <xf numFmtId="0" fontId="11" fillId="3" borderId="3" xfId="0" applyFont="1" applyFill="1" applyBorder="1" applyAlignment="1">
      <alignment horizontal="left"/>
    </xf>
    <xf numFmtId="3" fontId="3" fillId="3" borderId="3" xfId="0" applyNumberFormat="1" applyFont="1" applyFill="1" applyBorder="1"/>
    <xf numFmtId="1" fontId="12" fillId="3" borderId="3" xfId="0" applyNumberFormat="1" applyFont="1" applyFill="1" applyBorder="1"/>
    <xf numFmtId="1" fontId="3" fillId="3" borderId="3" xfId="0" applyNumberFormat="1" applyFont="1" applyFill="1" applyBorder="1"/>
    <xf numFmtId="3" fontId="0" fillId="3" borderId="3" xfId="0" applyNumberFormat="1" applyFill="1" applyBorder="1" applyAlignment="1">
      <alignment horizontal="right"/>
    </xf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0" fillId="0" borderId="0" xfId="0" applyAlignment="1">
      <alignment horizontal="left"/>
    </xf>
    <xf numFmtId="1" fontId="0" fillId="0" borderId="3" xfId="0" applyNumberFormat="1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0" fillId="0" borderId="0" xfId="0" applyNumberFormat="1" applyAlignment="1">
      <alignment horizontal="right"/>
    </xf>
    <xf numFmtId="1" fontId="0" fillId="3" borderId="3" xfId="0" applyNumberFormat="1" applyFill="1" applyBorder="1"/>
    <xf numFmtId="0" fontId="1" fillId="3" borderId="3" xfId="0" applyFont="1" applyFill="1" applyBorder="1" applyAlignment="1">
      <alignment horizontal="left"/>
    </xf>
    <xf numFmtId="3" fontId="13" fillId="3" borderId="3" xfId="0" applyNumberFormat="1" applyFont="1" applyFill="1" applyBorder="1"/>
    <xf numFmtId="1" fontId="6" fillId="3" borderId="3" xfId="0" applyNumberFormat="1" applyFont="1" applyFill="1" applyBorder="1"/>
    <xf numFmtId="3" fontId="9" fillId="0" borderId="3" xfId="0" applyNumberFormat="1" applyFont="1" applyBorder="1"/>
    <xf numFmtId="1" fontId="0" fillId="3" borderId="3" xfId="0" applyNumberFormat="1" applyFill="1" applyBorder="1" applyAlignment="1">
      <alignment horizontal="left"/>
    </xf>
    <xf numFmtId="3" fontId="14" fillId="3" borderId="3" xfId="0" applyNumberFormat="1" applyFont="1" applyFill="1" applyBorder="1"/>
    <xf numFmtId="0" fontId="10" fillId="3" borderId="0" xfId="0" applyFont="1" applyFill="1"/>
    <xf numFmtId="0" fontId="10" fillId="3" borderId="3" xfId="0" applyFont="1" applyFill="1" applyBorder="1"/>
    <xf numFmtId="14" fontId="0" fillId="0" borderId="3" xfId="0" applyNumberFormat="1" applyBorder="1"/>
    <xf numFmtId="0" fontId="0" fillId="0" borderId="1" xfId="0" applyBorder="1" applyAlignment="1">
      <alignment horizontal="center" vertical="center" wrapText="1"/>
    </xf>
    <xf numFmtId="3" fontId="0" fillId="0" borderId="1" xfId="5" applyNumberFormat="1" applyFont="1" applyFill="1" applyBorder="1" applyAlignment="1"/>
    <xf numFmtId="3" fontId="1" fillId="0" borderId="1" xfId="5" applyNumberFormat="1" applyFont="1" applyFill="1" applyBorder="1" applyAlignment="1"/>
    <xf numFmtId="0" fontId="1" fillId="0" borderId="1" xfId="0" applyFont="1" applyBorder="1"/>
    <xf numFmtId="167" fontId="0" fillId="0" borderId="1" xfId="0" applyNumberFormat="1" applyBorder="1"/>
    <xf numFmtId="3" fontId="0" fillId="0" borderId="1" xfId="5" applyNumberFormat="1" applyFont="1" applyFill="1" applyBorder="1"/>
    <xf numFmtId="3" fontId="1" fillId="0" borderId="1" xfId="5" applyNumberFormat="1" applyFont="1" applyFill="1" applyBorder="1"/>
    <xf numFmtId="3" fontId="0" fillId="3" borderId="1" xfId="5" applyNumberFormat="1" applyFont="1" applyFill="1" applyBorder="1" applyAlignment="1"/>
    <xf numFmtId="3" fontId="1" fillId="3" borderId="1" xfId="5" applyNumberFormat="1" applyFont="1" applyFill="1" applyBorder="1" applyAlignment="1"/>
    <xf numFmtId="3" fontId="1" fillId="3" borderId="1" xfId="0" applyNumberFormat="1" applyFont="1" applyFill="1" applyBorder="1"/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/>
    <xf numFmtId="3" fontId="1" fillId="3" borderId="3" xfId="5" applyNumberFormat="1" applyFont="1" applyFill="1" applyBorder="1" applyAlignment="1"/>
    <xf numFmtId="0" fontId="0" fillId="0" borderId="3" xfId="0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2" fontId="19" fillId="0" borderId="3" xfId="0" applyNumberFormat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3" fontId="5" fillId="0" borderId="3" xfId="0" applyNumberFormat="1" applyFont="1" applyBorder="1"/>
    <xf numFmtId="3" fontId="7" fillId="0" borderId="3" xfId="0" applyNumberFormat="1" applyFont="1" applyBorder="1"/>
    <xf numFmtId="0" fontId="7" fillId="0" borderId="0" xfId="0" applyFont="1" applyAlignment="1">
      <alignment wrapText="1"/>
    </xf>
    <xf numFmtId="3" fontId="7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3" borderId="1" xfId="0" applyFill="1" applyBorder="1"/>
    <xf numFmtId="0" fontId="1" fillId="3" borderId="1" xfId="0" applyFont="1" applyFill="1" applyBorder="1"/>
    <xf numFmtId="3" fontId="11" fillId="0" borderId="1" xfId="0" applyNumberFormat="1" applyFont="1" applyBorder="1"/>
    <xf numFmtId="3" fontId="0" fillId="0" borderId="14" xfId="0" applyNumberFormat="1" applyBorder="1"/>
    <xf numFmtId="3" fontId="0" fillId="4" borderId="3" xfId="0" applyNumberFormat="1" applyFill="1" applyBorder="1"/>
    <xf numFmtId="3" fontId="1" fillId="5" borderId="3" xfId="0" applyNumberFormat="1" applyFont="1" applyFill="1" applyBorder="1"/>
    <xf numFmtId="0" fontId="21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3" fontId="0" fillId="7" borderId="3" xfId="0" applyNumberFormat="1" applyFill="1" applyBorder="1"/>
    <xf numFmtId="3" fontId="22" fillId="5" borderId="3" xfId="0" applyNumberFormat="1" applyFont="1" applyFill="1" applyBorder="1"/>
    <xf numFmtId="3" fontId="23" fillId="5" borderId="3" xfId="0" applyNumberFormat="1" applyFont="1" applyFill="1" applyBorder="1"/>
    <xf numFmtId="3" fontId="22" fillId="7" borderId="3" xfId="0" applyNumberFormat="1" applyFont="1" applyFill="1" applyBorder="1"/>
    <xf numFmtId="3" fontId="0" fillId="8" borderId="3" xfId="0" applyNumberFormat="1" applyFill="1" applyBorder="1"/>
    <xf numFmtId="0" fontId="7" fillId="0" borderId="4" xfId="0" applyFont="1" applyBorder="1" applyAlignment="1">
      <alignment wrapText="1"/>
    </xf>
    <xf numFmtId="0" fontId="24" fillId="0" borderId="3" xfId="0" applyFont="1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3" fontId="1" fillId="6" borderId="3" xfId="0" applyNumberFormat="1" applyFont="1" applyFill="1" applyBorder="1"/>
    <xf numFmtId="3" fontId="9" fillId="5" borderId="3" xfId="0" applyNumberFormat="1" applyFont="1" applyFill="1" applyBorder="1"/>
    <xf numFmtId="3" fontId="0" fillId="6" borderId="3" xfId="0" applyNumberFormat="1" applyFill="1" applyBorder="1"/>
    <xf numFmtId="3" fontId="22" fillId="4" borderId="3" xfId="0" applyNumberFormat="1" applyFont="1" applyFill="1" applyBorder="1"/>
    <xf numFmtId="3" fontId="22" fillId="6" borderId="3" xfId="0" applyNumberFormat="1" applyFont="1" applyFill="1" applyBorder="1"/>
    <xf numFmtId="3" fontId="0" fillId="5" borderId="3" xfId="0" applyNumberForma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4" xfId="0" applyFill="1" applyBorder="1" applyAlignment="1">
      <alignment horizontal="left"/>
    </xf>
    <xf numFmtId="1" fontId="0" fillId="3" borderId="4" xfId="0" applyNumberFormat="1" applyFill="1" applyBorder="1" applyAlignment="1">
      <alignment horizontal="left"/>
    </xf>
    <xf numFmtId="3" fontId="1" fillId="0" borderId="0" xfId="0" applyNumberFormat="1" applyFont="1"/>
    <xf numFmtId="0" fontId="7" fillId="3" borderId="4" xfId="0" applyFont="1" applyFill="1" applyBorder="1" applyAlignment="1">
      <alignment wrapText="1"/>
    </xf>
    <xf numFmtId="3" fontId="5" fillId="3" borderId="3" xfId="0" applyNumberFormat="1" applyFont="1" applyFill="1" applyBorder="1"/>
    <xf numFmtId="3" fontId="0" fillId="0" borderId="4" xfId="0" applyNumberFormat="1" applyBorder="1"/>
    <xf numFmtId="3" fontId="0" fillId="4" borderId="4" xfId="0" applyNumberFormat="1" applyFill="1" applyBorder="1"/>
    <xf numFmtId="3" fontId="0" fillId="0" borderId="7" xfId="0" applyNumberFormat="1" applyBorder="1"/>
    <xf numFmtId="3" fontId="1" fillId="0" borderId="4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0" fillId="0" borderId="13" xfId="0" applyNumberFormat="1" applyBorder="1"/>
    <xf numFmtId="3" fontId="0" fillId="4" borderId="13" xfId="0" applyNumberFormat="1" applyFill="1" applyBorder="1"/>
    <xf numFmtId="3" fontId="0" fillId="0" borderId="17" xfId="0" applyNumberFormat="1" applyBorder="1"/>
    <xf numFmtId="0" fontId="0" fillId="0" borderId="3" xfId="2" applyFont="1" applyBorder="1" applyAlignment="1">
      <alignment horizontal="center"/>
    </xf>
    <xf numFmtId="3" fontId="9" fillId="10" borderId="3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9" fillId="3" borderId="3" xfId="0" applyFont="1" applyFill="1" applyBorder="1"/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distributed"/>
    </xf>
    <xf numFmtId="0" fontId="3" fillId="2" borderId="3" xfId="0" applyFont="1" applyFill="1" applyBorder="1" applyAlignment="1">
      <alignment horizontal="left" vertical="distributed" wrapText="1"/>
    </xf>
    <xf numFmtId="164" fontId="3" fillId="0" borderId="3" xfId="0" applyNumberFormat="1" applyFont="1" applyBorder="1" applyAlignment="1">
      <alignment horizontal="right" vertical="justify"/>
    </xf>
    <xf numFmtId="164" fontId="3" fillId="0" borderId="3" xfId="0" applyNumberFormat="1" applyFont="1" applyBorder="1" applyAlignment="1">
      <alignment horizontal="right" vertical="distributed"/>
    </xf>
    <xf numFmtId="0" fontId="3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wrapText="1"/>
    </xf>
    <xf numFmtId="3" fontId="3" fillId="0" borderId="1" xfId="0" applyNumberFormat="1" applyFont="1" applyBorder="1"/>
    <xf numFmtId="0" fontId="11" fillId="0" borderId="3" xfId="0" applyFont="1" applyBorder="1"/>
    <xf numFmtId="3" fontId="11" fillId="5" borderId="3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3" fontId="12" fillId="0" borderId="3" xfId="0" applyNumberFormat="1" applyFont="1" applyBorder="1"/>
    <xf numFmtId="0" fontId="10" fillId="0" borderId="3" xfId="0" applyFont="1" applyBorder="1"/>
    <xf numFmtId="3" fontId="10" fillId="0" borderId="3" xfId="0" applyNumberFormat="1" applyFont="1" applyBorder="1"/>
    <xf numFmtId="3" fontId="10" fillId="5" borderId="3" xfId="0" applyNumberFormat="1" applyFont="1" applyFill="1" applyBorder="1"/>
    <xf numFmtId="0" fontId="3" fillId="0" borderId="0" xfId="0" applyFont="1" applyAlignment="1">
      <alignment vertical="top"/>
    </xf>
    <xf numFmtId="3" fontId="12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distributed" wrapText="1"/>
    </xf>
    <xf numFmtId="0" fontId="11" fillId="0" borderId="3" xfId="0" applyFont="1" applyBorder="1" applyAlignment="1">
      <alignment vertical="center" wrapText="1"/>
    </xf>
    <xf numFmtId="14" fontId="3" fillId="0" borderId="3" xfId="0" applyNumberFormat="1" applyFont="1" applyBorder="1"/>
    <xf numFmtId="3" fontId="3" fillId="0" borderId="3" xfId="5" applyNumberFormat="1" applyFont="1" applyBorder="1"/>
    <xf numFmtId="3" fontId="3" fillId="0" borderId="3" xfId="5" applyNumberFormat="1" applyFont="1" applyFill="1" applyBorder="1"/>
    <xf numFmtId="3" fontId="3" fillId="0" borderId="3" xfId="0" applyNumberFormat="1" applyFont="1" applyBorder="1" applyAlignment="1">
      <alignment horizontal="right" vertical="distributed"/>
    </xf>
    <xf numFmtId="0" fontId="11" fillId="0" borderId="3" xfId="0" applyFont="1" applyBorder="1" applyAlignment="1">
      <alignment horizontal="left" vertical="distributed"/>
    </xf>
    <xf numFmtId="3" fontId="11" fillId="0" borderId="3" xfId="0" applyNumberFormat="1" applyFont="1" applyBorder="1" applyAlignment="1">
      <alignment horizontal="right" vertical="distributed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3" xfId="5" applyNumberFormat="1" applyFont="1" applyBorder="1" applyAlignment="1"/>
    <xf numFmtId="0" fontId="11" fillId="0" borderId="3" xfId="0" applyFont="1" applyBorder="1" applyAlignment="1">
      <alignment wrapText="1"/>
    </xf>
    <xf numFmtId="164" fontId="11" fillId="0" borderId="3" xfId="0" applyNumberFormat="1" applyFont="1" applyBorder="1" applyAlignment="1">
      <alignment horizontal="right" vertical="distributed"/>
    </xf>
    <xf numFmtId="168" fontId="11" fillId="0" borderId="3" xfId="5" applyNumberFormat="1" applyFont="1" applyBorder="1"/>
    <xf numFmtId="168" fontId="3" fillId="0" borderId="3" xfId="5" applyNumberFormat="1" applyFont="1" applyBorder="1"/>
    <xf numFmtId="0" fontId="11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justify"/>
    </xf>
    <xf numFmtId="0" fontId="3" fillId="0" borderId="3" xfId="0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169" fontId="10" fillId="0" borderId="3" xfId="0" applyNumberFormat="1" applyFont="1" applyBorder="1" applyAlignment="1">
      <alignment horizontal="right" vertical="justify"/>
    </xf>
    <xf numFmtId="0" fontId="12" fillId="0" borderId="3" xfId="0" applyFont="1" applyBorder="1" applyAlignment="1">
      <alignment wrapText="1"/>
    </xf>
    <xf numFmtId="169" fontId="12" fillId="0" borderId="3" xfId="0" applyNumberFormat="1" applyFont="1" applyBorder="1" applyAlignment="1">
      <alignment horizontal="right" vertical="distributed"/>
    </xf>
    <xf numFmtId="0" fontId="12" fillId="3" borderId="3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0" xfId="0" applyFont="1"/>
    <xf numFmtId="0" fontId="0" fillId="0" borderId="0" xfId="2" applyFont="1"/>
    <xf numFmtId="0" fontId="0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0" fillId="0" borderId="3" xfId="2" applyFont="1" applyBorder="1"/>
    <xf numFmtId="0" fontId="3" fillId="0" borderId="4" xfId="2" applyFont="1" applyBorder="1"/>
    <xf numFmtId="0" fontId="11" fillId="0" borderId="4" xfId="2" applyFont="1" applyBorder="1"/>
    <xf numFmtId="0" fontId="1" fillId="0" borderId="0" xfId="2" applyFont="1" applyAlignment="1">
      <alignment horizontal="right"/>
    </xf>
    <xf numFmtId="0" fontId="25" fillId="0" borderId="0" xfId="2" applyFont="1"/>
    <xf numFmtId="3" fontId="3" fillId="0" borderId="4" xfId="2" applyNumberFormat="1" applyFont="1" applyBorder="1"/>
    <xf numFmtId="3" fontId="3" fillId="0" borderId="0" xfId="2" applyNumberFormat="1" applyFont="1"/>
    <xf numFmtId="0" fontId="0" fillId="0" borderId="37" xfId="0" applyBorder="1"/>
    <xf numFmtId="3" fontId="11" fillId="0" borderId="0" xfId="2" applyNumberFormat="1" applyFont="1"/>
    <xf numFmtId="0" fontId="0" fillId="5" borderId="0" xfId="2" applyFont="1" applyFill="1"/>
    <xf numFmtId="0" fontId="0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6" fillId="0" borderId="0" xfId="2" applyFont="1"/>
    <xf numFmtId="0" fontId="3" fillId="0" borderId="0" xfId="2" applyFont="1"/>
    <xf numFmtId="0" fontId="27" fillId="0" borderId="0" xfId="1" applyFont="1"/>
    <xf numFmtId="0" fontId="27" fillId="0" borderId="0" xfId="0" applyFont="1" applyAlignment="1">
      <alignment vertical="center" wrapText="1"/>
    </xf>
    <xf numFmtId="0" fontId="27" fillId="0" borderId="0" xfId="1" applyFont="1" applyAlignment="1">
      <alignment horizontal="right"/>
    </xf>
    <xf numFmtId="0" fontId="27" fillId="0" borderId="3" xfId="1" applyFont="1" applyBorder="1"/>
    <xf numFmtId="0" fontId="28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/>
    </xf>
    <xf numFmtId="0" fontId="29" fillId="0" borderId="3" xfId="1" applyFont="1" applyBorder="1"/>
    <xf numFmtId="0" fontId="30" fillId="0" borderId="3" xfId="1" applyFont="1" applyBorder="1"/>
    <xf numFmtId="0" fontId="30" fillId="0" borderId="3" xfId="1" applyFont="1" applyBorder="1" applyAlignment="1">
      <alignment horizontal="center" wrapText="1"/>
    </xf>
    <xf numFmtId="3" fontId="30" fillId="3" borderId="3" xfId="1" applyNumberFormat="1" applyFont="1" applyFill="1" applyBorder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27" fillId="0" borderId="0" xfId="0" applyFont="1"/>
    <xf numFmtId="0" fontId="32" fillId="0" borderId="41" xfId="0" applyFont="1" applyBorder="1" applyAlignment="1">
      <alignment vertical="top"/>
    </xf>
    <xf numFmtId="49" fontId="31" fillId="0" borderId="44" xfId="0" applyNumberFormat="1" applyFont="1" applyBorder="1" applyAlignment="1">
      <alignment vertical="center"/>
    </xf>
    <xf numFmtId="49" fontId="31" fillId="0" borderId="23" xfId="0" quotePrefix="1" applyNumberFormat="1" applyFont="1" applyBorder="1" applyAlignment="1">
      <alignment horizontal="left" vertical="center" indent="1"/>
    </xf>
    <xf numFmtId="49" fontId="31" fillId="0" borderId="23" xfId="0" applyNumberFormat="1" applyFont="1" applyBorder="1" applyAlignment="1">
      <alignment vertical="center"/>
    </xf>
    <xf numFmtId="0" fontId="31" fillId="0" borderId="23" xfId="0" applyFont="1" applyBorder="1" applyAlignment="1">
      <alignment vertical="center" wrapText="1"/>
    </xf>
    <xf numFmtId="49" fontId="31" fillId="0" borderId="45" xfId="0" applyNumberFormat="1" applyFont="1" applyBorder="1" applyAlignment="1">
      <alignment vertical="center"/>
    </xf>
    <xf numFmtId="49" fontId="32" fillId="0" borderId="46" xfId="0" applyNumberFormat="1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3" fontId="27" fillId="0" borderId="0" xfId="0" applyNumberFormat="1" applyFont="1"/>
    <xf numFmtId="49" fontId="31" fillId="0" borderId="21" xfId="0" applyNumberFormat="1" applyFont="1" applyBorder="1" applyAlignment="1">
      <alignment vertical="center"/>
    </xf>
    <xf numFmtId="49" fontId="31" fillId="0" borderId="48" xfId="0" applyNumberFormat="1" applyFont="1" applyBorder="1" applyAlignment="1">
      <alignment vertical="center"/>
    </xf>
    <xf numFmtId="49" fontId="31" fillId="0" borderId="23" xfId="0" applyNumberFormat="1" applyFont="1" applyBorder="1" applyAlignment="1">
      <alignment horizontal="left" vertical="center"/>
    </xf>
    <xf numFmtId="0" fontId="27" fillId="0" borderId="47" xfId="0" applyFont="1" applyBorder="1"/>
    <xf numFmtId="0" fontId="32" fillId="0" borderId="47" xfId="0" applyFont="1" applyBorder="1" applyAlignment="1">
      <alignment vertical="top" wrapText="1"/>
    </xf>
    <xf numFmtId="0" fontId="31" fillId="0" borderId="47" xfId="0" applyFont="1" applyBorder="1"/>
    <xf numFmtId="49" fontId="31" fillId="0" borderId="49" xfId="0" applyNumberFormat="1" applyFont="1" applyBorder="1" applyAlignment="1">
      <alignment horizontal="left" vertical="center"/>
    </xf>
    <xf numFmtId="0" fontId="27" fillId="0" borderId="0" xfId="0" applyFont="1" applyAlignment="1">
      <alignment horizontal="right"/>
    </xf>
    <xf numFmtId="0" fontId="28" fillId="0" borderId="0" xfId="1" applyFont="1"/>
    <xf numFmtId="3" fontId="27" fillId="0" borderId="3" xfId="1" applyNumberFormat="1" applyFont="1" applyBorder="1"/>
    <xf numFmtId="0" fontId="27" fillId="0" borderId="3" xfId="1" applyFont="1" applyBorder="1" applyAlignment="1">
      <alignment wrapText="1"/>
    </xf>
    <xf numFmtId="3" fontId="27" fillId="0" borderId="1" xfId="1" applyNumberFormat="1" applyFont="1" applyBorder="1"/>
    <xf numFmtId="3" fontId="27" fillId="0" borderId="4" xfId="1" applyNumberFormat="1" applyFont="1" applyBorder="1"/>
    <xf numFmtId="3" fontId="27" fillId="0" borderId="3" xfId="1" applyNumberFormat="1" applyFont="1" applyBorder="1" applyAlignment="1">
      <alignment wrapText="1"/>
    </xf>
    <xf numFmtId="37" fontId="27" fillId="0" borderId="3" xfId="1" applyNumberFormat="1" applyFont="1" applyBorder="1"/>
    <xf numFmtId="0" fontId="21" fillId="0" borderId="3" xfId="0" applyFont="1" applyBorder="1"/>
    <xf numFmtId="0" fontId="28" fillId="0" borderId="3" xfId="1" applyFont="1" applyBorder="1"/>
    <xf numFmtId="3" fontId="28" fillId="0" borderId="3" xfId="1" applyNumberFormat="1" applyFont="1" applyBorder="1"/>
    <xf numFmtId="3" fontId="28" fillId="0" borderId="1" xfId="1" applyNumberFormat="1" applyFont="1" applyBorder="1"/>
    <xf numFmtId="3" fontId="28" fillId="0" borderId="4" xfId="1" applyNumberFormat="1" applyFont="1" applyBorder="1"/>
    <xf numFmtId="3" fontId="27" fillId="0" borderId="0" xfId="1" applyNumberFormat="1" applyFont="1"/>
    <xf numFmtId="3" fontId="27" fillId="0" borderId="3" xfId="1" applyNumberFormat="1" applyFont="1" applyBorder="1" applyAlignment="1">
      <alignment horizontal="right" vertical="distributed"/>
    </xf>
    <xf numFmtId="0" fontId="27" fillId="0" borderId="0" xfId="1" applyFont="1" applyAlignment="1">
      <alignment horizontal="center"/>
    </xf>
    <xf numFmtId="3" fontId="28" fillId="0" borderId="3" xfId="1" applyNumberFormat="1" applyFont="1" applyBorder="1" applyAlignment="1">
      <alignment vertical="center"/>
    </xf>
    <xf numFmtId="3" fontId="28" fillId="0" borderId="1" xfId="1" applyNumberFormat="1" applyFont="1" applyBorder="1" applyAlignment="1">
      <alignment vertical="center"/>
    </xf>
    <xf numFmtId="3" fontId="28" fillId="0" borderId="4" xfId="1" applyNumberFormat="1" applyFont="1" applyBorder="1" applyAlignment="1">
      <alignment vertical="center"/>
    </xf>
    <xf numFmtId="3" fontId="26" fillId="0" borderId="0" xfId="2" applyNumberFormat="1" applyFont="1"/>
    <xf numFmtId="0" fontId="20" fillId="0" borderId="0" xfId="0" applyFont="1"/>
    <xf numFmtId="0" fontId="4" fillId="0" borderId="0" xfId="0" applyFont="1"/>
    <xf numFmtId="0" fontId="10" fillId="0" borderId="3" xfId="1" applyFont="1" applyBorder="1" applyAlignment="1">
      <alignment horizontal="right"/>
    </xf>
    <xf numFmtId="0" fontId="10" fillId="0" borderId="3" xfId="1" applyFont="1" applyBorder="1"/>
    <xf numFmtId="0" fontId="12" fillId="0" borderId="3" xfId="1" applyFont="1" applyBorder="1"/>
    <xf numFmtId="49" fontId="10" fillId="0" borderId="3" xfId="1" applyNumberFormat="1" applyFont="1" applyBorder="1" applyAlignment="1">
      <alignment horizontal="right"/>
    </xf>
    <xf numFmtId="49" fontId="12" fillId="0" borderId="3" xfId="1" applyNumberFormat="1" applyFont="1" applyBorder="1" applyAlignment="1">
      <alignment horizontal="right"/>
    </xf>
    <xf numFmtId="0" fontId="10" fillId="0" borderId="3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27" fillId="0" borderId="0" xfId="1" applyFont="1" applyAlignment="1">
      <alignment wrapText="1"/>
    </xf>
    <xf numFmtId="0" fontId="0" fillId="3" borderId="4" xfId="0" applyFill="1" applyBorder="1"/>
    <xf numFmtId="3" fontId="1" fillId="0" borderId="3" xfId="0" applyNumberFormat="1" applyFont="1" applyBorder="1" applyAlignment="1">
      <alignment horizontal="center"/>
    </xf>
    <xf numFmtId="3" fontId="20" fillId="0" borderId="0" xfId="0" applyNumberFormat="1" applyFont="1"/>
    <xf numFmtId="0" fontId="20" fillId="0" borderId="23" xfId="0" applyFont="1" applyBorder="1"/>
    <xf numFmtId="0" fontId="35" fillId="0" borderId="0" xfId="0" applyFont="1"/>
    <xf numFmtId="0" fontId="36" fillId="0" borderId="0" xfId="0" applyFont="1"/>
    <xf numFmtId="49" fontId="31" fillId="0" borderId="52" xfId="0" applyNumberFormat="1" applyFont="1" applyBorder="1" applyAlignment="1">
      <alignment horizontal="left" vertical="center"/>
    </xf>
    <xf numFmtId="3" fontId="11" fillId="6" borderId="4" xfId="2" applyNumberFormat="1" applyFont="1" applyFill="1" applyBorder="1"/>
    <xf numFmtId="0" fontId="11" fillId="6" borderId="4" xfId="2" applyFont="1" applyFill="1" applyBorder="1"/>
    <xf numFmtId="3" fontId="37" fillId="0" borderId="0" xfId="0" applyNumberFormat="1" applyFont="1"/>
    <xf numFmtId="0" fontId="20" fillId="0" borderId="55" xfId="0" applyFont="1" applyBorder="1"/>
    <xf numFmtId="0" fontId="20" fillId="0" borderId="43" xfId="0" applyFont="1" applyBorder="1"/>
    <xf numFmtId="0" fontId="20" fillId="0" borderId="43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20" fillId="0" borderId="48" xfId="0" applyFont="1" applyBorder="1"/>
    <xf numFmtId="0" fontId="34" fillId="0" borderId="23" xfId="0" applyFont="1" applyBorder="1"/>
    <xf numFmtId="0" fontId="34" fillId="0" borderId="57" xfId="0" applyFont="1" applyBorder="1"/>
    <xf numFmtId="0" fontId="20" fillId="0" borderId="52" xfId="0" applyFont="1" applyBorder="1"/>
    <xf numFmtId="0" fontId="20" fillId="0" borderId="51" xfId="0" applyFont="1" applyBorder="1"/>
    <xf numFmtId="0" fontId="20" fillId="0" borderId="58" xfId="0" applyFont="1" applyBorder="1"/>
    <xf numFmtId="3" fontId="20" fillId="0" borderId="59" xfId="0" applyNumberFormat="1" applyFont="1" applyBorder="1"/>
    <xf numFmtId="49" fontId="32" fillId="0" borderId="47" xfId="0" applyNumberFormat="1" applyFont="1" applyBorder="1" applyAlignment="1">
      <alignment vertical="center"/>
    </xf>
    <xf numFmtId="3" fontId="38" fillId="0" borderId="0" xfId="0" applyNumberFormat="1" applyFont="1"/>
    <xf numFmtId="3" fontId="39" fillId="0" borderId="0" xfId="0" applyNumberFormat="1" applyFont="1"/>
    <xf numFmtId="3" fontId="38" fillId="9" borderId="0" xfId="0" applyNumberFormat="1" applyFont="1" applyFill="1"/>
    <xf numFmtId="0" fontId="40" fillId="3" borderId="0" xfId="0" applyFont="1" applyFill="1" applyAlignment="1">
      <alignment horizontal="left" vertical="center"/>
    </xf>
    <xf numFmtId="0" fontId="40" fillId="9" borderId="0" xfId="0" applyFont="1" applyFill="1" applyAlignment="1">
      <alignment horizontal="left" vertical="center"/>
    </xf>
    <xf numFmtId="0" fontId="37" fillId="0" borderId="0" xfId="0" applyFont="1"/>
    <xf numFmtId="3" fontId="40" fillId="0" borderId="22" xfId="0" applyNumberFormat="1" applyFont="1" applyBorder="1" applyAlignment="1" applyProtection="1">
      <alignment vertical="center"/>
      <protection locked="0"/>
    </xf>
    <xf numFmtId="3" fontId="40" fillId="0" borderId="28" xfId="0" applyNumberFormat="1" applyFont="1" applyBorder="1" applyAlignment="1" applyProtection="1">
      <alignment vertical="center"/>
      <protection locked="0"/>
    </xf>
    <xf numFmtId="3" fontId="40" fillId="0" borderId="3" xfId="0" applyNumberFormat="1" applyFont="1" applyBorder="1" applyAlignment="1" applyProtection="1">
      <alignment vertical="center"/>
      <protection locked="0"/>
    </xf>
    <xf numFmtId="3" fontId="40" fillId="0" borderId="3" xfId="0" applyNumberFormat="1" applyFont="1" applyBorder="1" applyAlignment="1">
      <alignment vertical="center"/>
    </xf>
    <xf numFmtId="3" fontId="40" fillId="0" borderId="3" xfId="0" applyNumberFormat="1" applyFont="1" applyBorder="1" applyAlignment="1">
      <alignment horizontal="right" vertical="center"/>
    </xf>
    <xf numFmtId="3" fontId="40" fillId="0" borderId="3" xfId="0" applyNumberFormat="1" applyFont="1" applyBorder="1" applyAlignment="1">
      <alignment vertical="center" wrapText="1"/>
    </xf>
    <xf numFmtId="3" fontId="40" fillId="0" borderId="3" xfId="0" applyNumberFormat="1" applyFont="1" applyBorder="1" applyAlignment="1" applyProtection="1">
      <alignment horizontal="right" vertical="center"/>
      <protection locked="0"/>
    </xf>
    <xf numFmtId="3" fontId="40" fillId="0" borderId="5" xfId="0" applyNumberFormat="1" applyFont="1" applyBorder="1" applyAlignment="1" applyProtection="1">
      <alignment horizontal="right" vertical="center"/>
      <protection locked="0"/>
    </xf>
    <xf numFmtId="0" fontId="40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3" fontId="40" fillId="0" borderId="17" xfId="5" applyNumberFormat="1" applyFont="1" applyFill="1" applyBorder="1" applyAlignment="1"/>
    <xf numFmtId="3" fontId="40" fillId="0" borderId="7" xfId="5" applyNumberFormat="1" applyFont="1" applyFill="1" applyBorder="1" applyAlignment="1" applyProtection="1">
      <protection locked="0"/>
    </xf>
    <xf numFmtId="3" fontId="40" fillId="0" borderId="26" xfId="5" applyNumberFormat="1" applyFont="1" applyBorder="1" applyAlignment="1">
      <alignment vertical="center"/>
    </xf>
    <xf numFmtId="3" fontId="40" fillId="0" borderId="3" xfId="5" quotePrefix="1" applyNumberFormat="1" applyFont="1" applyBorder="1" applyAlignment="1">
      <alignment horizontal="left" vertical="center" indent="1"/>
    </xf>
    <xf numFmtId="3" fontId="40" fillId="0" borderId="3" xfId="5" applyNumberFormat="1" applyFont="1" applyBorder="1" applyAlignment="1">
      <alignment vertical="center"/>
    </xf>
    <xf numFmtId="3" fontId="40" fillId="0" borderId="3" xfId="5" applyNumberFormat="1" applyFont="1" applyBorder="1" applyAlignment="1">
      <alignment vertical="center" wrapText="1"/>
    </xf>
    <xf numFmtId="3" fontId="40" fillId="0" borderId="27" xfId="0" applyNumberFormat="1" applyFont="1" applyBorder="1" applyAlignment="1">
      <alignment vertical="center"/>
    </xf>
    <xf numFmtId="49" fontId="40" fillId="0" borderId="3" xfId="0" quotePrefix="1" applyNumberFormat="1" applyFont="1" applyBorder="1" applyAlignment="1">
      <alignment horizontal="left" vertical="center" indent="1"/>
    </xf>
    <xf numFmtId="0" fontId="40" fillId="0" borderId="3" xfId="0" applyFont="1" applyBorder="1" applyAlignment="1">
      <alignment vertical="center" wrapText="1"/>
    </xf>
    <xf numFmtId="49" fontId="40" fillId="0" borderId="3" xfId="0" applyNumberFormat="1" applyFont="1" applyBorder="1" applyAlignment="1">
      <alignment vertical="center"/>
    </xf>
    <xf numFmtId="49" fontId="40" fillId="0" borderId="25" xfId="0" applyNumberFormat="1" applyFont="1" applyBorder="1" applyAlignment="1">
      <alignment vertical="center"/>
    </xf>
    <xf numFmtId="3" fontId="21" fillId="0" borderId="3" xfId="1" applyNumberFormat="1" applyFont="1" applyBorder="1"/>
    <xf numFmtId="0" fontId="21" fillId="0" borderId="0" xfId="1" applyFont="1"/>
    <xf numFmtId="3" fontId="33" fillId="5" borderId="3" xfId="1" applyNumberFormat="1" applyFont="1" applyFill="1" applyBorder="1"/>
    <xf numFmtId="3" fontId="21" fillId="0" borderId="0" xfId="1" applyNumberFormat="1" applyFont="1"/>
    <xf numFmtId="0" fontId="33" fillId="0" borderId="0" xfId="1" applyFont="1"/>
    <xf numFmtId="3" fontId="3" fillId="0" borderId="4" xfId="2" applyNumberFormat="1" applyFont="1" applyBorder="1" applyAlignment="1">
      <alignment wrapText="1"/>
    </xf>
    <xf numFmtId="3" fontId="40" fillId="3" borderId="0" xfId="5" applyNumberFormat="1" applyFont="1" applyFill="1" applyAlignment="1">
      <alignment horizontal="left" vertical="center"/>
    </xf>
    <xf numFmtId="3" fontId="31" fillId="0" borderId="0" xfId="5" applyNumberFormat="1" applyFont="1" applyAlignment="1">
      <alignment horizontal="right"/>
    </xf>
    <xf numFmtId="0" fontId="27" fillId="0" borderId="24" xfId="0" applyFont="1" applyBorder="1" applyAlignment="1">
      <alignment horizontal="center"/>
    </xf>
    <xf numFmtId="3" fontId="31" fillId="0" borderId="26" xfId="0" applyNumberFormat="1" applyFont="1" applyBorder="1" applyAlignment="1">
      <alignment vertical="center"/>
    </xf>
    <xf numFmtId="3" fontId="31" fillId="0" borderId="22" xfId="0" applyNumberFormat="1" applyFont="1" applyBorder="1" applyAlignment="1" applyProtection="1">
      <alignment vertical="center"/>
      <protection locked="0"/>
    </xf>
    <xf numFmtId="3" fontId="31" fillId="0" borderId="28" xfId="0" applyNumberFormat="1" applyFont="1" applyBorder="1" applyAlignment="1" applyProtection="1">
      <alignment vertical="center"/>
      <protection locked="0"/>
    </xf>
    <xf numFmtId="3" fontId="31" fillId="0" borderId="61" xfId="0" applyNumberFormat="1" applyFont="1" applyBorder="1" applyAlignment="1" applyProtection="1">
      <alignment vertical="center"/>
      <protection locked="0"/>
    </xf>
    <xf numFmtId="3" fontId="27" fillId="0" borderId="38" xfId="5" applyNumberFormat="1" applyFont="1" applyBorder="1"/>
    <xf numFmtId="3" fontId="31" fillId="0" borderId="3" xfId="0" quotePrefix="1" applyNumberFormat="1" applyFont="1" applyBorder="1" applyAlignment="1">
      <alignment horizontal="left" vertical="center" indent="1"/>
    </xf>
    <xf numFmtId="3" fontId="31" fillId="0" borderId="3" xfId="0" applyNumberFormat="1" applyFont="1" applyBorder="1" applyAlignment="1" applyProtection="1">
      <alignment vertical="center"/>
      <protection locked="0"/>
    </xf>
    <xf numFmtId="3" fontId="31" fillId="0" borderId="1" xfId="0" applyNumberFormat="1" applyFont="1" applyBorder="1" applyAlignment="1" applyProtection="1">
      <alignment vertical="center"/>
      <protection locked="0"/>
    </xf>
    <xf numFmtId="3" fontId="27" fillId="0" borderId="29" xfId="5" applyNumberFormat="1" applyFont="1" applyBorder="1"/>
    <xf numFmtId="3" fontId="31" fillId="0" borderId="3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1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 applyProtection="1">
      <alignment horizontal="right" vertical="center"/>
      <protection locked="0"/>
    </xf>
    <xf numFmtId="3" fontId="31" fillId="0" borderId="1" xfId="0" applyNumberFormat="1" applyFont="1" applyBorder="1" applyAlignment="1" applyProtection="1">
      <alignment horizontal="right" vertical="center"/>
      <protection locked="0"/>
    </xf>
    <xf numFmtId="49" fontId="31" fillId="0" borderId="56" xfId="0" applyNumberFormat="1" applyFont="1" applyBorder="1" applyAlignment="1">
      <alignment vertical="center"/>
    </xf>
    <xf numFmtId="3" fontId="31" fillId="0" borderId="25" xfId="0" applyNumberFormat="1" applyFont="1" applyBorder="1" applyAlignment="1">
      <alignment vertical="center"/>
    </xf>
    <xf numFmtId="3" fontId="31" fillId="0" borderId="25" xfId="0" applyNumberFormat="1" applyFont="1" applyBorder="1" applyAlignment="1" applyProtection="1">
      <alignment horizontal="right" vertical="center"/>
      <protection locked="0"/>
    </xf>
    <xf numFmtId="3" fontId="31" fillId="0" borderId="35" xfId="0" applyNumberFormat="1" applyFont="1" applyBorder="1" applyAlignment="1" applyProtection="1">
      <alignment horizontal="right" vertical="center"/>
      <protection locked="0"/>
    </xf>
    <xf numFmtId="3" fontId="27" fillId="0" borderId="62" xfId="5" applyNumberFormat="1" applyFont="1" applyBorder="1"/>
    <xf numFmtId="49" fontId="32" fillId="0" borderId="52" xfId="0" applyNumberFormat="1" applyFont="1" applyBorder="1" applyAlignment="1">
      <alignment vertical="center"/>
    </xf>
    <xf numFmtId="3" fontId="32" fillId="0" borderId="53" xfId="0" applyNumberFormat="1" applyFont="1" applyBorder="1" applyAlignment="1">
      <alignment vertical="center"/>
    </xf>
    <xf numFmtId="3" fontId="32" fillId="0" borderId="63" xfId="5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3" fontId="31" fillId="0" borderId="40" xfId="5" applyNumberFormat="1" applyFont="1" applyBorder="1" applyAlignment="1">
      <alignment vertical="center"/>
    </xf>
    <xf numFmtId="3" fontId="31" fillId="0" borderId="33" xfId="0" applyNumberFormat="1" applyFont="1" applyBorder="1" applyAlignment="1">
      <alignment vertical="center"/>
    </xf>
    <xf numFmtId="3" fontId="31" fillId="0" borderId="17" xfId="0" applyNumberFormat="1" applyFont="1" applyBorder="1" applyAlignment="1">
      <alignment vertical="center"/>
    </xf>
    <xf numFmtId="3" fontId="31" fillId="0" borderId="7" xfId="0" applyNumberFormat="1" applyFont="1" applyBorder="1" applyAlignment="1" applyProtection="1">
      <alignment vertical="center"/>
      <protection locked="0"/>
    </xf>
    <xf numFmtId="3" fontId="31" fillId="0" borderId="29" xfId="5" applyNumberFormat="1" applyFont="1" applyBorder="1" applyAlignment="1">
      <alignment vertical="center"/>
    </xf>
    <xf numFmtId="3" fontId="31" fillId="0" borderId="4" xfId="0" applyNumberFormat="1" applyFont="1" applyBorder="1" applyAlignment="1">
      <alignment horizontal="right" vertical="center"/>
    </xf>
    <xf numFmtId="3" fontId="31" fillId="0" borderId="53" xfId="0" applyNumberFormat="1" applyFont="1" applyBorder="1" applyAlignment="1">
      <alignment horizontal="right" vertical="center"/>
    </xf>
    <xf numFmtId="3" fontId="31" fillId="0" borderId="53" xfId="0" applyNumberFormat="1" applyFont="1" applyBorder="1" applyAlignment="1" applyProtection="1">
      <alignment vertical="center"/>
      <protection locked="0"/>
    </xf>
    <xf numFmtId="3" fontId="31" fillId="0" borderId="54" xfId="5" applyNumberFormat="1" applyFont="1" applyBorder="1" applyAlignment="1">
      <alignment vertical="center"/>
    </xf>
    <xf numFmtId="3" fontId="32" fillId="0" borderId="32" xfId="0" applyNumberFormat="1" applyFont="1" applyBorder="1" applyAlignment="1">
      <alignment vertical="center"/>
    </xf>
    <xf numFmtId="3" fontId="32" fillId="0" borderId="19" xfId="5" applyNumberFormat="1" applyFont="1" applyBorder="1" applyAlignment="1">
      <alignment vertical="center"/>
    </xf>
    <xf numFmtId="3" fontId="41" fillId="0" borderId="40" xfId="5" applyNumberFormat="1" applyFont="1" applyBorder="1" applyAlignment="1">
      <alignment vertical="center"/>
    </xf>
    <xf numFmtId="0" fontId="32" fillId="0" borderId="0" xfId="0" applyFont="1"/>
    <xf numFmtId="0" fontId="31" fillId="0" borderId="0" xfId="0" applyFont="1"/>
    <xf numFmtId="1" fontId="31" fillId="0" borderId="26" xfId="0" applyNumberFormat="1" applyFont="1" applyBorder="1" applyAlignment="1">
      <alignment vertical="center"/>
    </xf>
    <xf numFmtId="1" fontId="31" fillId="0" borderId="22" xfId="0" applyNumberFormat="1" applyFont="1" applyBorder="1" applyAlignment="1" applyProtection="1">
      <alignment vertical="center"/>
      <protection locked="0"/>
    </xf>
    <xf numFmtId="1" fontId="31" fillId="0" borderId="28" xfId="0" applyNumberFormat="1" applyFont="1" applyBorder="1" applyAlignment="1" applyProtection="1">
      <alignment vertical="center"/>
      <protection locked="0"/>
    </xf>
    <xf numFmtId="1" fontId="31" fillId="0" borderId="61" xfId="0" applyNumberFormat="1" applyFont="1" applyBorder="1" applyAlignment="1" applyProtection="1">
      <alignment vertical="center"/>
      <protection locked="0"/>
    </xf>
    <xf numFmtId="1" fontId="31" fillId="0" borderId="3" xfId="0" quotePrefix="1" applyNumberFormat="1" applyFont="1" applyBorder="1" applyAlignment="1">
      <alignment horizontal="left" vertical="center" indent="1"/>
    </xf>
    <xf numFmtId="1" fontId="31" fillId="0" borderId="3" xfId="0" applyNumberFormat="1" applyFont="1" applyBorder="1" applyAlignment="1" applyProtection="1">
      <alignment vertical="center"/>
      <protection locked="0"/>
    </xf>
    <xf numFmtId="1" fontId="31" fillId="0" borderId="1" xfId="0" applyNumberFormat="1" applyFont="1" applyBorder="1" applyAlignment="1" applyProtection="1">
      <alignment vertical="center"/>
      <protection locked="0"/>
    </xf>
    <xf numFmtId="1" fontId="31" fillId="0" borderId="3" xfId="0" applyNumberFormat="1" applyFont="1" applyBorder="1" applyAlignment="1">
      <alignment vertical="center"/>
    </xf>
    <xf numFmtId="1" fontId="31" fillId="0" borderId="3" xfId="0" applyNumberFormat="1" applyFont="1" applyBorder="1" applyAlignment="1">
      <alignment horizontal="right" vertical="center"/>
    </xf>
    <xf numFmtId="1" fontId="27" fillId="0" borderId="0" xfId="0" applyNumberFormat="1" applyFont="1"/>
    <xf numFmtId="1" fontId="31" fillId="0" borderId="3" xfId="0" applyNumberFormat="1" applyFont="1" applyBorder="1" applyAlignment="1">
      <alignment vertical="center" wrapText="1"/>
    </xf>
    <xf numFmtId="1" fontId="31" fillId="0" borderId="1" xfId="0" applyNumberFormat="1" applyFont="1" applyBorder="1" applyAlignment="1">
      <alignment horizontal="right" vertical="center"/>
    </xf>
    <xf numFmtId="1" fontId="31" fillId="0" borderId="3" xfId="0" applyNumberFormat="1" applyFont="1" applyBorder="1" applyAlignment="1" applyProtection="1">
      <alignment horizontal="right" vertical="center"/>
      <protection locked="0"/>
    </xf>
    <xf numFmtId="1" fontId="31" fillId="0" borderId="1" xfId="0" applyNumberFormat="1" applyFont="1" applyBorder="1" applyAlignment="1" applyProtection="1">
      <alignment horizontal="right" vertical="center"/>
      <protection locked="0"/>
    </xf>
    <xf numFmtId="1" fontId="31" fillId="0" borderId="25" xfId="0" applyNumberFormat="1" applyFont="1" applyBorder="1" applyAlignment="1">
      <alignment vertical="center"/>
    </xf>
    <xf numFmtId="1" fontId="31" fillId="0" borderId="25" xfId="0" applyNumberFormat="1" applyFont="1" applyBorder="1" applyAlignment="1" applyProtection="1">
      <alignment horizontal="right" vertical="center"/>
      <protection locked="0"/>
    </xf>
    <xf numFmtId="1" fontId="31" fillId="0" borderId="35" xfId="0" applyNumberFormat="1" applyFont="1" applyBorder="1" applyAlignment="1" applyProtection="1">
      <alignment horizontal="right" vertical="center"/>
      <protection locked="0"/>
    </xf>
    <xf numFmtId="1" fontId="32" fillId="0" borderId="32" xfId="5" applyNumberFormat="1" applyFont="1" applyBorder="1" applyAlignment="1">
      <alignment vertical="center"/>
    </xf>
    <xf numFmtId="1" fontId="31" fillId="0" borderId="64" xfId="0" applyNumberFormat="1" applyFont="1" applyBorder="1" applyAlignment="1">
      <alignment vertical="center"/>
    </xf>
    <xf numFmtId="3" fontId="27" fillId="0" borderId="34" xfId="5" applyNumberFormat="1" applyFont="1" applyBorder="1"/>
    <xf numFmtId="3" fontId="40" fillId="0" borderId="40" xfId="5" applyNumberFormat="1" applyFont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2" fillId="0" borderId="3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3" fontId="32" fillId="0" borderId="34" xfId="5" applyNumberFormat="1" applyFont="1" applyBorder="1" applyAlignment="1">
      <alignment horizontal="center" vertical="center"/>
    </xf>
    <xf numFmtId="3" fontId="37" fillId="0" borderId="16" xfId="0" applyNumberFormat="1" applyFont="1" applyBorder="1"/>
    <xf numFmtId="3" fontId="27" fillId="0" borderId="30" xfId="5" applyNumberFormat="1" applyFont="1" applyBorder="1"/>
    <xf numFmtId="3" fontId="31" fillId="0" borderId="17" xfId="5" applyNumberFormat="1" applyFont="1" applyFill="1" applyBorder="1" applyAlignment="1"/>
    <xf numFmtId="3" fontId="31" fillId="0" borderId="4" xfId="0" applyNumberFormat="1" applyFont="1" applyBorder="1" applyAlignment="1">
      <alignment horizontal="right"/>
    </xf>
    <xf numFmtId="3" fontId="31" fillId="0" borderId="3" xfId="5" applyNumberFormat="1" applyFont="1" applyFill="1" applyBorder="1" applyAlignment="1" applyProtection="1">
      <protection locked="0"/>
    </xf>
    <xf numFmtId="3" fontId="31" fillId="0" borderId="3" xfId="0" applyNumberFormat="1" applyFont="1" applyBorder="1" applyProtection="1">
      <protection locked="0"/>
    </xf>
    <xf numFmtId="3" fontId="27" fillId="0" borderId="1" xfId="0" applyNumberFormat="1" applyFont="1" applyBorder="1"/>
    <xf numFmtId="3" fontId="31" fillId="0" borderId="15" xfId="0" applyNumberFormat="1" applyFont="1" applyBorder="1" applyAlignment="1">
      <alignment horizontal="right"/>
    </xf>
    <xf numFmtId="3" fontId="31" fillId="0" borderId="15" xfId="5" applyNumberFormat="1" applyFont="1" applyFill="1" applyBorder="1" applyAlignment="1"/>
    <xf numFmtId="3" fontId="27" fillId="0" borderId="14" xfId="0" applyNumberFormat="1" applyFont="1" applyBorder="1"/>
    <xf numFmtId="3" fontId="32" fillId="0" borderId="27" xfId="5" applyNumberFormat="1" applyFont="1" applyFill="1" applyBorder="1" applyAlignment="1"/>
    <xf numFmtId="3" fontId="31" fillId="0" borderId="27" xfId="5" applyNumberFormat="1" applyFont="1" applyFill="1" applyBorder="1" applyAlignment="1"/>
    <xf numFmtId="3" fontId="32" fillId="0" borderId="34" xfId="5" applyNumberFormat="1" applyFont="1" applyFill="1" applyBorder="1" applyAlignment="1"/>
    <xf numFmtId="3" fontId="37" fillId="0" borderId="40" xfId="5" applyNumberFormat="1" applyFont="1" applyBorder="1"/>
    <xf numFmtId="3" fontId="31" fillId="0" borderId="5" xfId="0" applyNumberFormat="1" applyFont="1" applyBorder="1" applyAlignment="1">
      <alignment vertical="center"/>
    </xf>
    <xf numFmtId="3" fontId="40" fillId="0" borderId="13" xfId="0" applyNumberFormat="1" applyFont="1" applyBorder="1" applyAlignment="1" applyProtection="1">
      <alignment horizontal="right" vertical="center"/>
      <protection locked="0"/>
    </xf>
    <xf numFmtId="3" fontId="27" fillId="0" borderId="31" xfId="5" applyNumberFormat="1" applyFont="1" applyBorder="1"/>
    <xf numFmtId="3" fontId="32" fillId="0" borderId="32" xfId="5" applyNumberFormat="1" applyFont="1" applyBorder="1" applyAlignment="1">
      <alignment vertical="center"/>
    </xf>
    <xf numFmtId="0" fontId="27" fillId="0" borderId="65" xfId="0" applyFont="1" applyBorder="1"/>
    <xf numFmtId="0" fontId="27" fillId="0" borderId="27" xfId="0" applyFont="1" applyBorder="1"/>
    <xf numFmtId="168" fontId="31" fillId="0" borderId="22" xfId="5" applyNumberFormat="1" applyFont="1" applyFill="1" applyBorder="1" applyAlignment="1" applyProtection="1">
      <alignment vertical="center"/>
      <protection locked="0"/>
    </xf>
    <xf numFmtId="2" fontId="27" fillId="0" borderId="22" xfId="0" applyNumberFormat="1" applyFont="1" applyBorder="1"/>
    <xf numFmtId="3" fontId="31" fillId="0" borderId="17" xfId="5" applyNumberFormat="1" applyFont="1" applyFill="1" applyBorder="1" applyAlignment="1">
      <alignment horizontal="right"/>
    </xf>
    <xf numFmtId="3" fontId="31" fillId="0" borderId="7" xfId="5" applyNumberFormat="1" applyFont="1" applyFill="1" applyBorder="1" applyAlignment="1" applyProtection="1">
      <alignment horizontal="right" vertical="center"/>
      <protection locked="0"/>
    </xf>
    <xf numFmtId="3" fontId="31" fillId="0" borderId="7" xfId="5" applyNumberFormat="1" applyFont="1" applyFill="1" applyBorder="1" applyAlignment="1" applyProtection="1">
      <alignment horizontal="right"/>
      <protection locked="0"/>
    </xf>
    <xf numFmtId="3" fontId="27" fillId="0" borderId="7" xfId="5" applyNumberFormat="1" applyFont="1" applyBorder="1" applyAlignment="1">
      <alignment horizontal="right"/>
    </xf>
    <xf numFmtId="3" fontId="31" fillId="0" borderId="39" xfId="5" applyNumberFormat="1" applyFont="1" applyFill="1" applyBorder="1" applyAlignment="1">
      <alignment horizontal="right"/>
    </xf>
    <xf numFmtId="3" fontId="31" fillId="0" borderId="3" xfId="5" applyNumberFormat="1" applyFont="1" applyFill="1" applyBorder="1" applyAlignment="1" applyProtection="1">
      <alignment horizontal="right"/>
      <protection locked="0"/>
    </xf>
    <xf numFmtId="3" fontId="31" fillId="0" borderId="3" xfId="0" applyNumberFormat="1" applyFont="1" applyBorder="1" applyAlignment="1" applyProtection="1">
      <alignment horizontal="right"/>
      <protection locked="0"/>
    </xf>
    <xf numFmtId="3" fontId="27" fillId="0" borderId="3" xfId="0" applyNumberFormat="1" applyFont="1" applyBorder="1" applyAlignment="1">
      <alignment horizontal="right"/>
    </xf>
    <xf numFmtId="3" fontId="31" fillId="0" borderId="51" xfId="5" applyNumberFormat="1" applyFont="1" applyFill="1" applyBorder="1" applyAlignment="1" applyProtection="1">
      <alignment horizontal="right"/>
      <protection locked="0"/>
    </xf>
    <xf numFmtId="3" fontId="31" fillId="0" borderId="51" xfId="0" applyNumberFormat="1" applyFont="1" applyBorder="1" applyAlignment="1" applyProtection="1">
      <alignment horizontal="right"/>
      <protection locked="0"/>
    </xf>
    <xf numFmtId="3" fontId="27" fillId="0" borderId="51" xfId="0" applyNumberFormat="1" applyFont="1" applyBorder="1" applyAlignment="1">
      <alignment horizontal="right"/>
    </xf>
    <xf numFmtId="3" fontId="32" fillId="0" borderId="32" xfId="5" applyNumberFormat="1" applyFont="1" applyFill="1" applyBorder="1" applyAlignment="1">
      <alignment horizontal="right"/>
    </xf>
    <xf numFmtId="3" fontId="32" fillId="0" borderId="19" xfId="5" applyNumberFormat="1" applyFont="1" applyFill="1" applyBorder="1" applyAlignment="1">
      <alignment horizontal="right"/>
    </xf>
    <xf numFmtId="170" fontId="31" fillId="0" borderId="3" xfId="5" applyNumberFormat="1" applyFont="1" applyBorder="1" applyAlignment="1">
      <alignment vertical="center"/>
    </xf>
    <xf numFmtId="3" fontId="40" fillId="0" borderId="25" xfId="0" applyNumberFormat="1" applyFont="1" applyBorder="1" applyAlignment="1" applyProtection="1">
      <alignment horizontal="right" vertical="center"/>
      <protection locked="0"/>
    </xf>
    <xf numFmtId="3" fontId="27" fillId="0" borderId="7" xfId="0" applyNumberFormat="1" applyFont="1" applyBorder="1" applyAlignment="1">
      <alignment horizontal="right"/>
    </xf>
    <xf numFmtId="3" fontId="31" fillId="0" borderId="15" xfId="5" applyNumberFormat="1" applyFont="1" applyFill="1" applyBorder="1" applyAlignment="1" applyProtection="1">
      <alignment horizontal="right"/>
      <protection locked="0"/>
    </xf>
    <xf numFmtId="3" fontId="31" fillId="0" borderId="15" xfId="0" applyNumberFormat="1" applyFont="1" applyBorder="1" applyAlignment="1" applyProtection="1">
      <alignment horizontal="right"/>
      <protection locked="0"/>
    </xf>
    <xf numFmtId="3" fontId="27" fillId="0" borderId="15" xfId="0" applyNumberFormat="1" applyFont="1" applyBorder="1" applyAlignment="1">
      <alignment horizontal="right"/>
    </xf>
    <xf numFmtId="3" fontId="31" fillId="0" borderId="3" xfId="0" applyNumberFormat="1" applyFont="1" applyBorder="1" applyAlignment="1">
      <alignment horizontal="right" vertical="center"/>
    </xf>
    <xf numFmtId="3" fontId="32" fillId="0" borderId="32" xfId="0" applyNumberFormat="1" applyFont="1" applyBorder="1" applyAlignment="1">
      <alignment horizontal="right" vertical="center"/>
    </xf>
    <xf numFmtId="3" fontId="32" fillId="0" borderId="19" xfId="5" applyNumberFormat="1" applyFont="1" applyBorder="1" applyAlignment="1">
      <alignment horizontal="right" vertical="center"/>
    </xf>
    <xf numFmtId="2" fontId="27" fillId="0" borderId="7" xfId="0" applyNumberFormat="1" applyFont="1" applyBorder="1"/>
    <xf numFmtId="3" fontId="31" fillId="0" borderId="17" xfId="5" applyNumberFormat="1" applyFont="1" applyFill="1" applyBorder="1" applyAlignment="1">
      <alignment vertical="center"/>
    </xf>
    <xf numFmtId="3" fontId="31" fillId="0" borderId="7" xfId="5" applyNumberFormat="1" applyFont="1" applyFill="1" applyBorder="1" applyAlignment="1" applyProtection="1">
      <alignment vertical="center"/>
      <protection locked="0"/>
    </xf>
    <xf numFmtId="3" fontId="27" fillId="0" borderId="7" xfId="0" applyNumberFormat="1" applyFont="1" applyBorder="1"/>
    <xf numFmtId="3" fontId="31" fillId="0" borderId="3" xfId="5" applyNumberFormat="1" applyFont="1" applyFill="1" applyBorder="1" applyAlignment="1" applyProtection="1">
      <alignment horizontal="right" vertical="center"/>
      <protection locked="0"/>
    </xf>
    <xf numFmtId="3" fontId="27" fillId="0" borderId="3" xfId="0" applyNumberFormat="1" applyFont="1" applyBorder="1"/>
    <xf numFmtId="3" fontId="32" fillId="0" borderId="27" xfId="5" applyNumberFormat="1" applyFont="1" applyFill="1" applyBorder="1" applyAlignment="1">
      <alignment horizontal="right"/>
    </xf>
    <xf numFmtId="3" fontId="32" fillId="0" borderId="27" xfId="0" applyNumberFormat="1" applyFont="1" applyBorder="1" applyAlignment="1">
      <alignment horizontal="right"/>
    </xf>
    <xf numFmtId="3" fontId="31" fillId="0" borderId="5" xfId="0" applyNumberFormat="1" applyFont="1" applyBorder="1" applyAlignment="1" applyProtection="1">
      <alignment horizontal="right" vertical="center"/>
      <protection locked="0"/>
    </xf>
    <xf numFmtId="3" fontId="31" fillId="0" borderId="39" xfId="5" applyNumberFormat="1" applyFont="1" applyBorder="1" applyAlignment="1">
      <alignment vertical="center"/>
    </xf>
    <xf numFmtId="3" fontId="32" fillId="0" borderId="19" xfId="0" applyNumberFormat="1" applyFont="1" applyBorder="1" applyAlignment="1">
      <alignment vertical="center"/>
    </xf>
    <xf numFmtId="3" fontId="31" fillId="0" borderId="17" xfId="5" applyNumberFormat="1" applyFont="1" applyFill="1" applyBorder="1" applyAlignment="1">
      <alignment horizontal="right" vertical="center"/>
    </xf>
    <xf numFmtId="3" fontId="31" fillId="0" borderId="30" xfId="5" applyNumberFormat="1" applyFont="1" applyFill="1" applyBorder="1" applyAlignment="1">
      <alignment horizontal="right" vertical="center"/>
    </xf>
    <xf numFmtId="3" fontId="31" fillId="0" borderId="29" xfId="5" applyNumberFormat="1" applyFont="1" applyFill="1" applyBorder="1" applyAlignment="1">
      <alignment horizontal="right" vertical="center"/>
    </xf>
    <xf numFmtId="3" fontId="32" fillId="0" borderId="32" xfId="5" applyNumberFormat="1" applyFont="1" applyFill="1" applyBorder="1" applyAlignment="1">
      <alignment horizontal="right" vertical="center"/>
    </xf>
    <xf numFmtId="3" fontId="32" fillId="0" borderId="27" xfId="5" applyNumberFormat="1" applyFont="1" applyFill="1" applyBorder="1" applyAlignment="1">
      <alignment horizontal="right" vertical="center"/>
    </xf>
    <xf numFmtId="3" fontId="32" fillId="0" borderId="27" xfId="0" applyNumberFormat="1" applyFont="1" applyBorder="1" applyAlignment="1">
      <alignment horizontal="right" vertical="center"/>
    </xf>
    <xf numFmtId="3" fontId="32" fillId="0" borderId="34" xfId="5" applyNumberFormat="1" applyFont="1" applyFill="1" applyBorder="1" applyAlignment="1">
      <alignment horizontal="right" vertical="center"/>
    </xf>
    <xf numFmtId="168" fontId="31" fillId="0" borderId="3" xfId="5" quotePrefix="1" applyNumberFormat="1" applyFont="1" applyBorder="1" applyAlignment="1">
      <alignment horizontal="left" vertical="center" indent="1"/>
    </xf>
    <xf numFmtId="3" fontId="31" fillId="0" borderId="3" xfId="5" applyNumberFormat="1" applyFont="1" applyBorder="1" applyAlignment="1">
      <alignment vertical="center"/>
    </xf>
    <xf numFmtId="3" fontId="31" fillId="0" borderId="30" xfId="5" applyNumberFormat="1" applyFont="1" applyBorder="1" applyAlignment="1">
      <alignment vertical="center"/>
    </xf>
    <xf numFmtId="3" fontId="31" fillId="0" borderId="3" xfId="5" applyNumberFormat="1" applyFont="1" applyBorder="1" applyAlignment="1">
      <alignment vertical="center" wrapText="1"/>
    </xf>
    <xf numFmtId="168" fontId="31" fillId="0" borderId="3" xfId="5" applyNumberFormat="1" applyFont="1" applyBorder="1" applyAlignment="1">
      <alignment vertical="center"/>
    </xf>
    <xf numFmtId="168" fontId="31" fillId="0" borderId="25" xfId="5" applyNumberFormat="1" applyFont="1" applyBorder="1" applyAlignment="1">
      <alignment vertical="center"/>
    </xf>
    <xf numFmtId="3" fontId="31" fillId="0" borderId="31" xfId="5" applyNumberFormat="1" applyFont="1" applyBorder="1" applyAlignment="1">
      <alignment vertical="center"/>
    </xf>
    <xf numFmtId="3" fontId="31" fillId="0" borderId="27" xfId="0" applyNumberFormat="1" applyFont="1" applyBorder="1" applyAlignment="1">
      <alignment vertical="center"/>
    </xf>
    <xf numFmtId="3" fontId="31" fillId="0" borderId="39" xfId="5" applyNumberFormat="1" applyFont="1" applyFill="1" applyBorder="1" applyAlignment="1">
      <alignment horizontal="right" vertical="center"/>
    </xf>
    <xf numFmtId="3" fontId="31" fillId="0" borderId="15" xfId="0" applyNumberFormat="1" applyFont="1" applyBorder="1" applyAlignment="1">
      <alignment horizontal="right" vertical="center"/>
    </xf>
    <xf numFmtId="3" fontId="31" fillId="0" borderId="6" xfId="5" applyNumberFormat="1" applyFont="1" applyFill="1" applyBorder="1" applyAlignment="1" applyProtection="1">
      <alignment horizontal="right" vertical="center"/>
      <protection locked="0"/>
    </xf>
    <xf numFmtId="3" fontId="31" fillId="0" borderId="6" xfId="0" applyNumberFormat="1" applyFont="1" applyBorder="1" applyAlignment="1" applyProtection="1">
      <alignment horizontal="right" vertical="center"/>
      <protection locked="0"/>
    </xf>
    <xf numFmtId="3" fontId="27" fillId="0" borderId="6" xfId="0" applyNumberFormat="1" applyFont="1" applyBorder="1" applyAlignment="1">
      <alignment horizontal="right"/>
    </xf>
    <xf numFmtId="3" fontId="32" fillId="0" borderId="19" xfId="5" applyNumberFormat="1" applyFont="1" applyFill="1" applyBorder="1" applyAlignment="1">
      <alignment horizontal="right" vertical="center"/>
    </xf>
    <xf numFmtId="3" fontId="37" fillId="0" borderId="0" xfId="5" applyNumberFormat="1" applyFont="1"/>
    <xf numFmtId="3" fontId="1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 wrapText="1"/>
    </xf>
    <xf numFmtId="0" fontId="43" fillId="0" borderId="0" xfId="0" applyFont="1"/>
    <xf numFmtId="168" fontId="43" fillId="0" borderId="0" xfId="5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/>
    <xf numFmtId="0" fontId="42" fillId="0" borderId="3" xfId="1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2" fillId="0" borderId="3" xfId="1" applyFont="1" applyBorder="1"/>
    <xf numFmtId="0" fontId="42" fillId="3" borderId="3" xfId="1" applyFont="1" applyFill="1" applyBorder="1"/>
    <xf numFmtId="0" fontId="46" fillId="0" borderId="3" xfId="1" applyFont="1" applyBorder="1"/>
    <xf numFmtId="0" fontId="44" fillId="0" borderId="0" xfId="0" applyFont="1"/>
    <xf numFmtId="0" fontId="43" fillId="0" borderId="0" xfId="0" applyFont="1" applyAlignment="1">
      <alignment horizontal="center"/>
    </xf>
    <xf numFmtId="2" fontId="43" fillId="0" borderId="0" xfId="0" applyNumberFormat="1" applyFont="1"/>
    <xf numFmtId="3" fontId="3" fillId="0" borderId="3" xfId="0" applyNumberFormat="1" applyFont="1" applyBorder="1" applyAlignment="1">
      <alignment horizontal="center" vertical="center" wrapText="1"/>
    </xf>
    <xf numFmtId="3" fontId="3" fillId="4" borderId="3" xfId="0" applyNumberFormat="1" applyFont="1" applyFill="1" applyBorder="1"/>
    <xf numFmtId="3" fontId="11" fillId="0" borderId="1" xfId="0" applyNumberFormat="1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3" fontId="11" fillId="0" borderId="4" xfId="0" applyNumberFormat="1" applyFont="1" applyBorder="1" applyAlignment="1">
      <alignment horizontal="left"/>
    </xf>
    <xf numFmtId="0" fontId="32" fillId="0" borderId="57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49" xfId="0" applyFont="1" applyBorder="1" applyAlignment="1">
      <alignment vertical="center"/>
    </xf>
    <xf numFmtId="0" fontId="32" fillId="0" borderId="1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3" fontId="32" fillId="0" borderId="39" xfId="5" applyNumberFormat="1" applyFont="1" applyBorder="1" applyAlignment="1">
      <alignment horizontal="center" vertical="center"/>
    </xf>
    <xf numFmtId="0" fontId="31" fillId="0" borderId="66" xfId="0" applyFont="1" applyBorder="1" applyAlignment="1">
      <alignment vertical="center"/>
    </xf>
    <xf numFmtId="0" fontId="31" fillId="0" borderId="65" xfId="0" applyFont="1" applyBorder="1" applyAlignment="1">
      <alignment vertical="center"/>
    </xf>
    <xf numFmtId="3" fontId="31" fillId="0" borderId="19" xfId="5" applyNumberFormat="1" applyFont="1" applyBorder="1" applyAlignment="1">
      <alignment vertical="center"/>
    </xf>
    <xf numFmtId="170" fontId="31" fillId="0" borderId="3" xfId="5" applyNumberFormat="1" applyFont="1" applyBorder="1" applyAlignment="1">
      <alignment horizontal="right" vertical="center"/>
    </xf>
    <xf numFmtId="170" fontId="31" fillId="0" borderId="3" xfId="5" applyNumberFormat="1" applyFont="1" applyBorder="1" applyAlignment="1" applyProtection="1">
      <alignment vertical="center"/>
      <protection locked="0"/>
    </xf>
    <xf numFmtId="170" fontId="31" fillId="0" borderId="3" xfId="5" applyNumberFormat="1" applyFont="1" applyBorder="1" applyAlignment="1" applyProtection="1">
      <alignment horizontal="right" vertical="center"/>
      <protection locked="0"/>
    </xf>
    <xf numFmtId="170" fontId="31" fillId="0" borderId="25" xfId="5" applyNumberFormat="1" applyFont="1" applyBorder="1" applyAlignment="1" applyProtection="1">
      <alignment horizontal="right" vertical="center"/>
      <protection locked="0"/>
    </xf>
    <xf numFmtId="170" fontId="32" fillId="0" borderId="32" xfId="5" applyNumberFormat="1" applyFont="1" applyBorder="1" applyAlignment="1">
      <alignment vertical="center"/>
    </xf>
    <xf numFmtId="3" fontId="28" fillId="0" borderId="34" xfId="5" applyNumberFormat="1" applyFont="1" applyBorder="1"/>
    <xf numFmtId="167" fontId="31" fillId="0" borderId="33" xfId="5" applyNumberFormat="1" applyFont="1" applyFill="1" applyBorder="1" applyAlignment="1">
      <alignment horizontal="right"/>
    </xf>
    <xf numFmtId="3" fontId="31" fillId="0" borderId="53" xfId="0" applyNumberFormat="1" applyFont="1" applyBorder="1" applyAlignment="1">
      <alignment horizontal="right"/>
    </xf>
    <xf numFmtId="49" fontId="31" fillId="0" borderId="49" xfId="0" applyNumberFormat="1" applyFont="1" applyBorder="1" applyAlignment="1">
      <alignment vertical="center"/>
    </xf>
    <xf numFmtId="49" fontId="40" fillId="0" borderId="15" xfId="0" applyNumberFormat="1" applyFont="1" applyBorder="1" applyAlignment="1">
      <alignment vertical="center"/>
    </xf>
    <xf numFmtId="3" fontId="40" fillId="0" borderId="7" xfId="0" applyNumberFormat="1" applyFont="1" applyBorder="1" applyAlignment="1" applyProtection="1">
      <alignment vertical="center"/>
      <protection locked="0"/>
    </xf>
    <xf numFmtId="3" fontId="40" fillId="0" borderId="6" xfId="0" applyNumberFormat="1" applyFont="1" applyBorder="1" applyAlignment="1" applyProtection="1">
      <alignment vertical="center"/>
      <protection locked="0"/>
    </xf>
    <xf numFmtId="168" fontId="31" fillId="0" borderId="17" xfId="5" applyNumberFormat="1" applyFont="1" applyFill="1" applyBorder="1" applyAlignment="1">
      <alignment vertical="center"/>
    </xf>
    <xf numFmtId="168" fontId="31" fillId="0" borderId="7" xfId="5" applyNumberFormat="1" applyFont="1" applyFill="1" applyBorder="1" applyAlignment="1" applyProtection="1">
      <alignment vertical="center"/>
      <protection locked="0"/>
    </xf>
    <xf numFmtId="3" fontId="31" fillId="0" borderId="6" xfId="0" applyNumberFormat="1" applyFont="1" applyBorder="1" applyAlignment="1" applyProtection="1">
      <alignment vertical="center"/>
      <protection locked="0"/>
    </xf>
    <xf numFmtId="3" fontId="27" fillId="0" borderId="6" xfId="0" applyNumberFormat="1" applyFont="1" applyBorder="1"/>
    <xf numFmtId="3" fontId="31" fillId="0" borderId="15" xfId="0" applyNumberFormat="1" applyFont="1" applyBorder="1" applyAlignment="1">
      <alignment vertical="center"/>
    </xf>
    <xf numFmtId="0" fontId="27" fillId="0" borderId="41" xfId="0" applyFont="1" applyBorder="1"/>
    <xf numFmtId="0" fontId="37" fillId="0" borderId="42" xfId="0" applyFont="1" applyBorder="1"/>
    <xf numFmtId="3" fontId="37" fillId="0" borderId="18" xfId="5" applyNumberFormat="1" applyFont="1" applyBorder="1"/>
    <xf numFmtId="0" fontId="31" fillId="0" borderId="67" xfId="0" applyFont="1" applyBorder="1"/>
    <xf numFmtId="0" fontId="31" fillId="0" borderId="68" xfId="0" applyFont="1" applyBorder="1"/>
    <xf numFmtId="3" fontId="38" fillId="0" borderId="3" xfId="0" applyNumberFormat="1" applyFont="1" applyBorder="1"/>
    <xf numFmtId="3" fontId="49" fillId="0" borderId="7" xfId="0" applyNumberFormat="1" applyFont="1" applyBorder="1"/>
    <xf numFmtId="3" fontId="49" fillId="0" borderId="16" xfId="0" applyNumberFormat="1" applyFont="1" applyBorder="1"/>
    <xf numFmtId="3" fontId="49" fillId="0" borderId="50" xfId="0" applyNumberFormat="1" applyFont="1" applyBorder="1"/>
    <xf numFmtId="3" fontId="50" fillId="0" borderId="3" xfId="0" applyNumberFormat="1" applyFont="1" applyBorder="1"/>
    <xf numFmtId="0" fontId="50" fillId="0" borderId="0" xfId="0" applyFont="1"/>
    <xf numFmtId="3" fontId="11" fillId="6" borderId="3" xfId="0" applyNumberFormat="1" applyFont="1" applyFill="1" applyBorder="1"/>
    <xf numFmtId="3" fontId="10" fillId="10" borderId="3" xfId="0" applyNumberFormat="1" applyFont="1" applyFill="1" applyBorder="1"/>
    <xf numFmtId="0" fontId="52" fillId="0" borderId="0" xfId="0" applyFont="1" applyAlignment="1">
      <alignment horizontal="right"/>
    </xf>
    <xf numFmtId="0" fontId="23" fillId="0" borderId="3" xfId="0" applyFont="1" applyBorder="1" applyAlignment="1">
      <alignment horizontal="center"/>
    </xf>
    <xf numFmtId="0" fontId="51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/>
    </xf>
    <xf numFmtId="3" fontId="23" fillId="4" borderId="3" xfId="0" applyNumberFormat="1" applyFont="1" applyFill="1" applyBorder="1"/>
    <xf numFmtId="3" fontId="51" fillId="0" borderId="3" xfId="0" applyNumberFormat="1" applyFont="1" applyBorder="1"/>
    <xf numFmtId="3" fontId="51" fillId="6" borderId="3" xfId="0" applyNumberFormat="1" applyFont="1" applyFill="1" applyBorder="1"/>
    <xf numFmtId="3" fontId="23" fillId="7" borderId="3" xfId="0" applyNumberFormat="1" applyFont="1" applyFill="1" applyBorder="1"/>
    <xf numFmtId="3" fontId="51" fillId="7" borderId="3" xfId="0" applyNumberFormat="1" applyFont="1" applyFill="1" applyBorder="1"/>
    <xf numFmtId="0" fontId="51" fillId="0" borderId="3" xfId="0" applyFont="1" applyBorder="1"/>
    <xf numFmtId="3" fontId="23" fillId="6" borderId="3" xfId="0" applyNumberFormat="1" applyFont="1" applyFill="1" applyBorder="1"/>
    <xf numFmtId="3" fontId="51" fillId="4" borderId="3" xfId="0" applyNumberFormat="1" applyFont="1" applyFill="1" applyBorder="1"/>
    <xf numFmtId="3" fontId="51" fillId="8" borderId="3" xfId="0" applyNumberFormat="1" applyFont="1" applyFill="1" applyBorder="1"/>
    <xf numFmtId="3" fontId="51" fillId="5" borderId="3" xfId="0" applyNumberFormat="1" applyFont="1" applyFill="1" applyBorder="1"/>
    <xf numFmtId="3" fontId="28" fillId="0" borderId="0" xfId="0" applyNumberFormat="1" applyFont="1"/>
    <xf numFmtId="3" fontId="20" fillId="0" borderId="3" xfId="0" applyNumberFormat="1" applyFont="1" applyBorder="1"/>
    <xf numFmtId="3" fontId="20" fillId="0" borderId="1" xfId="0" applyNumberFormat="1" applyFont="1" applyBorder="1"/>
    <xf numFmtId="3" fontId="20" fillId="0" borderId="24" xfId="0" applyNumberFormat="1" applyFont="1" applyBorder="1"/>
    <xf numFmtId="3" fontId="34" fillId="0" borderId="3" xfId="0" applyNumberFormat="1" applyFont="1" applyBorder="1"/>
    <xf numFmtId="3" fontId="34" fillId="0" borderId="24" xfId="0" applyNumberFormat="1" applyFont="1" applyBorder="1"/>
    <xf numFmtId="3" fontId="34" fillId="0" borderId="29" xfId="0" applyNumberFormat="1" applyFont="1" applyBorder="1"/>
    <xf numFmtId="3" fontId="34" fillId="0" borderId="25" xfId="0" applyNumberFormat="1" applyFont="1" applyBorder="1"/>
    <xf numFmtId="3" fontId="34" fillId="0" borderId="35" xfId="0" applyNumberFormat="1" applyFont="1" applyBorder="1"/>
    <xf numFmtId="3" fontId="34" fillId="0" borderId="36" xfId="0" applyNumberFormat="1" applyFont="1" applyBorder="1"/>
    <xf numFmtId="3" fontId="11" fillId="4" borderId="3" xfId="0" applyNumberFormat="1" applyFont="1" applyFill="1" applyBorder="1"/>
    <xf numFmtId="3" fontId="3" fillId="0" borderId="5" xfId="0" applyNumberFormat="1" applyFont="1" applyBorder="1"/>
    <xf numFmtId="3" fontId="11" fillId="4" borderId="5" xfId="0" applyNumberFormat="1" applyFont="1" applyFill="1" applyBorder="1"/>
    <xf numFmtId="3" fontId="3" fillId="0" borderId="7" xfId="0" applyNumberFormat="1" applyFont="1" applyBorder="1"/>
    <xf numFmtId="3" fontId="11" fillId="0" borderId="5" xfId="0" applyNumberFormat="1" applyFont="1" applyBorder="1"/>
    <xf numFmtId="3" fontId="28" fillId="5" borderId="3" xfId="1" applyNumberFormat="1" applyFont="1" applyFill="1" applyBorder="1"/>
    <xf numFmtId="3" fontId="11" fillId="0" borderId="3" xfId="0" applyNumberFormat="1" applyFont="1" applyBorder="1" applyAlignment="1">
      <alignment horizontal="right"/>
    </xf>
    <xf numFmtId="3" fontId="27" fillId="0" borderId="27" xfId="0" applyNumberFormat="1" applyFont="1" applyBorder="1"/>
    <xf numFmtId="37" fontId="27" fillId="0" borderId="27" xfId="5" applyNumberFormat="1" applyFont="1" applyFill="1" applyBorder="1"/>
    <xf numFmtId="3" fontId="32" fillId="0" borderId="34" xfId="5" applyNumberFormat="1" applyFont="1" applyFill="1" applyBorder="1" applyAlignment="1">
      <alignment vertical="center"/>
    </xf>
    <xf numFmtId="168" fontId="47" fillId="0" borderId="21" xfId="5" applyNumberFormat="1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2" fillId="0" borderId="71" xfId="1" applyFont="1" applyBorder="1" applyAlignment="1">
      <alignment horizontal="center"/>
    </xf>
    <xf numFmtId="168" fontId="43" fillId="0" borderId="23" xfId="5" applyNumberFormat="1" applyFont="1" applyBorder="1" applyAlignment="1">
      <alignment horizontal="center"/>
    </xf>
    <xf numFmtId="2" fontId="46" fillId="0" borderId="3" xfId="1" applyNumberFormat="1" applyFont="1" applyBorder="1"/>
    <xf numFmtId="2" fontId="46" fillId="0" borderId="1" xfId="1" applyNumberFormat="1" applyFont="1" applyBorder="1"/>
    <xf numFmtId="2" fontId="46" fillId="0" borderId="71" xfId="1" applyNumberFormat="1" applyFont="1" applyBorder="1"/>
    <xf numFmtId="49" fontId="43" fillId="0" borderId="3" xfId="0" applyNumberFormat="1" applyFont="1" applyBorder="1" applyAlignment="1">
      <alignment horizontal="center"/>
    </xf>
    <xf numFmtId="2" fontId="42" fillId="0" borderId="3" xfId="1" applyNumberFormat="1" applyFont="1" applyBorder="1"/>
    <xf numFmtId="2" fontId="42" fillId="0" borderId="1" xfId="1" applyNumberFormat="1" applyFont="1" applyBorder="1"/>
    <xf numFmtId="2" fontId="42" fillId="0" borderId="71" xfId="1" applyNumberFormat="1" applyFont="1" applyBorder="1"/>
    <xf numFmtId="168" fontId="43" fillId="0" borderId="72" xfId="5" applyNumberFormat="1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2" fontId="42" fillId="0" borderId="5" xfId="1" applyNumberFormat="1" applyFont="1" applyBorder="1"/>
    <xf numFmtId="2" fontId="46" fillId="0" borderId="5" xfId="1" applyNumberFormat="1" applyFont="1" applyBorder="1"/>
    <xf numFmtId="2" fontId="46" fillId="0" borderId="9" xfId="1" applyNumberFormat="1" applyFont="1" applyBorder="1"/>
    <xf numFmtId="2" fontId="46" fillId="0" borderId="73" xfId="1" applyNumberFormat="1" applyFont="1" applyBorder="1"/>
    <xf numFmtId="168" fontId="43" fillId="0" borderId="46" xfId="5" applyNumberFormat="1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0" fontId="46" fillId="0" borderId="27" xfId="1" applyFont="1" applyBorder="1"/>
    <xf numFmtId="2" fontId="46" fillId="0" borderId="27" xfId="1" applyNumberFormat="1" applyFont="1" applyBorder="1"/>
    <xf numFmtId="2" fontId="46" fillId="0" borderId="64" xfId="1" applyNumberFormat="1" applyFont="1" applyBorder="1"/>
    <xf numFmtId="2" fontId="46" fillId="0" borderId="74" xfId="1" applyNumberFormat="1" applyFont="1" applyBorder="1"/>
    <xf numFmtId="0" fontId="4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43" fillId="0" borderId="0" xfId="0" applyFont="1" applyAlignment="1">
      <alignment wrapText="1"/>
    </xf>
    <xf numFmtId="0" fontId="51" fillId="0" borderId="0" xfId="0" applyFont="1"/>
    <xf numFmtId="0" fontId="51" fillId="0" borderId="3" xfId="0" applyFont="1" applyBorder="1" applyAlignment="1">
      <alignment horizontal="center" vertical="center"/>
    </xf>
    <xf numFmtId="0" fontId="51" fillId="0" borderId="1" xfId="0" applyFont="1" applyBorder="1"/>
    <xf numFmtId="3" fontId="51" fillId="0" borderId="0" xfId="0" applyNumberFormat="1" applyFont="1"/>
    <xf numFmtId="168" fontId="0" fillId="0" borderId="0" xfId="5" applyNumberFormat="1" applyFont="1"/>
    <xf numFmtId="168" fontId="0" fillId="0" borderId="0" xfId="0" applyNumberFormat="1"/>
    <xf numFmtId="0" fontId="3" fillId="0" borderId="3" xfId="0" applyFont="1" applyBorder="1" applyAlignment="1">
      <alignment horizontal="left" vertical="distributed" wrapText="1"/>
    </xf>
    <xf numFmtId="0" fontId="2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51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3" fontId="23" fillId="3" borderId="3" xfId="0" applyNumberFormat="1" applyFont="1" applyFill="1" applyBorder="1"/>
    <xf numFmtId="3" fontId="51" fillId="3" borderId="3" xfId="0" applyNumberFormat="1" applyFont="1" applyFill="1" applyBorder="1"/>
    <xf numFmtId="3" fontId="23" fillId="0" borderId="3" xfId="0" applyNumberFormat="1" applyFont="1" applyBorder="1"/>
    <xf numFmtId="3" fontId="55" fillId="5" borderId="3" xfId="0" applyNumberFormat="1" applyFont="1" applyFill="1" applyBorder="1"/>
    <xf numFmtId="3" fontId="55" fillId="10" borderId="3" xfId="0" applyNumberFormat="1" applyFont="1" applyFill="1" applyBorder="1"/>
    <xf numFmtId="0" fontId="51" fillId="0" borderId="0" xfId="0" applyFont="1" applyAlignment="1">
      <alignment horizontal="right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3" xfId="0" applyFont="1" applyBorder="1"/>
    <xf numFmtId="0" fontId="22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distributed"/>
    </xf>
    <xf numFmtId="3" fontId="56" fillId="0" borderId="3" xfId="0" applyNumberFormat="1" applyFont="1" applyBorder="1"/>
    <xf numFmtId="0" fontId="56" fillId="0" borderId="3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horizontal="left" vertical="top" wrapText="1"/>
    </xf>
    <xf numFmtId="0" fontId="55" fillId="0" borderId="3" xfId="0" applyFont="1" applyBorder="1" applyAlignment="1">
      <alignment horizontal="center" vertical="center"/>
    </xf>
    <xf numFmtId="3" fontId="55" fillId="0" borderId="3" xfId="0" applyNumberFormat="1" applyFont="1" applyBorder="1"/>
    <xf numFmtId="3" fontId="52" fillId="0" borderId="3" xfId="0" applyNumberFormat="1" applyFont="1" applyBorder="1"/>
    <xf numFmtId="0" fontId="52" fillId="0" borderId="0" xfId="0" applyFont="1"/>
    <xf numFmtId="3" fontId="52" fillId="0" borderId="0" xfId="0" applyNumberFormat="1" applyFont="1"/>
    <xf numFmtId="0" fontId="51" fillId="0" borderId="3" xfId="2" applyFont="1" applyBorder="1" applyAlignment="1">
      <alignment horizontal="center" vertical="center" wrapText="1"/>
    </xf>
    <xf numFmtId="0" fontId="51" fillId="0" borderId="3" xfId="2" applyFont="1" applyBorder="1"/>
    <xf numFmtId="0" fontId="23" fillId="0" borderId="3" xfId="2" applyFont="1" applyBorder="1" applyAlignment="1">
      <alignment horizontal="center" vertical="center" wrapText="1"/>
    </xf>
    <xf numFmtId="3" fontId="51" fillId="0" borderId="3" xfId="2" applyNumberFormat="1" applyFont="1" applyBorder="1" applyAlignment="1">
      <alignment horizontal="right"/>
    </xf>
    <xf numFmtId="3" fontId="23" fillId="6" borderId="3" xfId="2" applyNumberFormat="1" applyFont="1" applyFill="1" applyBorder="1"/>
    <xf numFmtId="0" fontId="23" fillId="0" borderId="3" xfId="2" applyFont="1" applyBorder="1" applyAlignment="1">
      <alignment horizontal="right" wrapText="1"/>
    </xf>
    <xf numFmtId="0" fontId="23" fillId="0" borderId="3" xfId="2" applyFont="1" applyBorder="1" applyAlignment="1">
      <alignment horizontal="right"/>
    </xf>
    <xf numFmtId="3" fontId="51" fillId="0" borderId="3" xfId="2" applyNumberFormat="1" applyFont="1" applyBorder="1"/>
    <xf numFmtId="3" fontId="57" fillId="0" borderId="0" xfId="2" applyNumberFormat="1" applyFont="1"/>
    <xf numFmtId="0" fontId="51" fillId="0" borderId="0" xfId="0" applyFont="1" applyAlignment="1">
      <alignment vertical="top"/>
    </xf>
    <xf numFmtId="0" fontId="51" fillId="0" borderId="0" xfId="2" applyFont="1"/>
    <xf numFmtId="0" fontId="58" fillId="0" borderId="0" xfId="1" applyFont="1"/>
    <xf numFmtId="0" fontId="53" fillId="0" borderId="0" xfId="1" applyFont="1"/>
    <xf numFmtId="0" fontId="58" fillId="0" borderId="3" xfId="1" applyFont="1" applyBorder="1" applyAlignment="1">
      <alignment horizontal="center" vertical="center"/>
    </xf>
    <xf numFmtId="3" fontId="53" fillId="0" borderId="3" xfId="1" applyNumberFormat="1" applyFont="1" applyBorder="1"/>
    <xf numFmtId="3" fontId="58" fillId="5" borderId="3" xfId="1" applyNumberFormat="1" applyFont="1" applyFill="1" applyBorder="1"/>
    <xf numFmtId="3" fontId="53" fillId="0" borderId="0" xfId="1" applyNumberFormat="1" applyFont="1"/>
    <xf numFmtId="0" fontId="28" fillId="0" borderId="0" xfId="1" applyFont="1" applyAlignment="1">
      <alignment horizontal="left"/>
    </xf>
    <xf numFmtId="0" fontId="10" fillId="0" borderId="0" xfId="1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left"/>
    </xf>
    <xf numFmtId="0" fontId="0" fillId="3" borderId="3" xfId="0" applyFill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0" fillId="3" borderId="3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3" fontId="9" fillId="3" borderId="3" xfId="0" applyNumberFormat="1" applyFont="1" applyFill="1" applyBorder="1" applyAlignment="1">
      <alignment horizontal="left"/>
    </xf>
    <xf numFmtId="0" fontId="30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0" xfId="0" applyFont="1" applyBorder="1"/>
    <xf numFmtId="0" fontId="10" fillId="0" borderId="3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6" fillId="0" borderId="20" xfId="0" applyFont="1" applyBorder="1" applyAlignment="1">
      <alignment horizontal="right"/>
    </xf>
    <xf numFmtId="0" fontId="56" fillId="0" borderId="5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2" fillId="0" borderId="5" xfId="1" applyFont="1" applyBorder="1" applyAlignment="1">
      <alignment horizontal="left" vertical="center" wrapText="1"/>
    </xf>
    <xf numFmtId="0" fontId="46" fillId="0" borderId="0" xfId="1" applyFont="1" applyAlignment="1">
      <alignment horizontal="center"/>
    </xf>
    <xf numFmtId="0" fontId="42" fillId="0" borderId="22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8" xfId="1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2" fillId="0" borderId="3" xfId="1" applyFont="1" applyBorder="1" applyAlignment="1">
      <alignment horizontal="left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/>
    </xf>
    <xf numFmtId="0" fontId="42" fillId="0" borderId="69" xfId="1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2" fillId="0" borderId="69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70" xfId="1" applyFont="1" applyBorder="1" applyAlignment="1">
      <alignment horizontal="center" vertical="center" wrapText="1"/>
    </xf>
    <xf numFmtId="0" fontId="42" fillId="0" borderId="71" xfId="1" applyFont="1" applyBorder="1" applyAlignment="1">
      <alignment horizontal="center" vertical="center" wrapText="1"/>
    </xf>
    <xf numFmtId="168" fontId="47" fillId="0" borderId="23" xfId="5" applyNumberFormat="1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wrapText="1"/>
    </xf>
    <xf numFmtId="0" fontId="51" fillId="0" borderId="3" xfId="2" applyFont="1" applyBorder="1" applyAlignment="1">
      <alignment horizontal="right"/>
    </xf>
    <xf numFmtId="0" fontId="27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5" fillId="0" borderId="0" xfId="0" applyFo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5" fillId="0" borderId="8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3" fontId="11" fillId="0" borderId="4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" fillId="4" borderId="1" xfId="0" applyNumberFormat="1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left"/>
    </xf>
    <xf numFmtId="3" fontId="11" fillId="4" borderId="1" xfId="0" applyNumberFormat="1" applyFont="1" applyFill="1" applyBorder="1" applyAlignment="1">
      <alignment horizontal="left"/>
    </xf>
    <xf numFmtId="3" fontId="11" fillId="4" borderId="2" xfId="0" applyNumberFormat="1" applyFont="1" applyFill="1" applyBorder="1" applyAlignment="1">
      <alignment horizontal="left"/>
    </xf>
    <xf numFmtId="3" fontId="11" fillId="4" borderId="4" xfId="0" applyNumberFormat="1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0" borderId="4" xfId="0" applyNumberFormat="1" applyBorder="1" applyAlignment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4" xfId="0" applyNumberFormat="1" applyBorder="1"/>
    <xf numFmtId="3" fontId="1" fillId="4" borderId="9" xfId="0" applyNumberFormat="1" applyFont="1" applyFill="1" applyBorder="1" applyAlignment="1">
      <alignment horizontal="left"/>
    </xf>
    <xf numFmtId="3" fontId="1" fillId="4" borderId="8" xfId="0" applyNumberFormat="1" applyFont="1" applyFill="1" applyBorder="1" applyAlignment="1">
      <alignment horizontal="left"/>
    </xf>
    <xf numFmtId="3" fontId="1" fillId="4" borderId="13" xfId="0" applyNumberFormat="1" applyFont="1" applyFill="1" applyBorder="1" applyAlignment="1">
      <alignment horizontal="left"/>
    </xf>
    <xf numFmtId="3" fontId="0" fillId="0" borderId="3" xfId="0" applyNumberFormat="1" applyBorder="1" applyAlignment="1">
      <alignment horizontal="center"/>
    </xf>
    <xf numFmtId="3" fontId="11" fillId="3" borderId="1" xfId="0" applyNumberFormat="1" applyFont="1" applyFill="1" applyBorder="1"/>
    <xf numFmtId="3" fontId="11" fillId="3" borderId="2" xfId="0" applyNumberFormat="1" applyFont="1" applyFill="1" applyBorder="1"/>
    <xf numFmtId="3" fontId="11" fillId="3" borderId="4" xfId="0" applyNumberFormat="1" applyFont="1" applyFill="1" applyBorder="1"/>
    <xf numFmtId="3" fontId="11" fillId="4" borderId="1" xfId="0" applyNumberFormat="1" applyFont="1" applyFill="1" applyBorder="1"/>
    <xf numFmtId="3" fontId="11" fillId="4" borderId="2" xfId="0" applyNumberFormat="1" applyFont="1" applyFill="1" applyBorder="1"/>
    <xf numFmtId="3" fontId="11" fillId="4" borderId="4" xfId="0" applyNumberFormat="1" applyFont="1" applyFill="1" applyBorder="1"/>
    <xf numFmtId="3" fontId="1" fillId="3" borderId="1" xfId="0" applyNumberFormat="1" applyFont="1" applyFill="1" applyBorder="1"/>
    <xf numFmtId="3" fontId="1" fillId="3" borderId="2" xfId="0" applyNumberFormat="1" applyFont="1" applyFill="1" applyBorder="1"/>
    <xf numFmtId="3" fontId="1" fillId="3" borderId="4" xfId="0" applyNumberFormat="1" applyFon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4" xfId="0" applyNumberFormat="1" applyFill="1" applyBorder="1"/>
    <xf numFmtId="3" fontId="9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3" borderId="3" xfId="0" applyNumberFormat="1" applyFill="1" applyBorder="1"/>
    <xf numFmtId="3" fontId="3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center"/>
    </xf>
    <xf numFmtId="0" fontId="31" fillId="0" borderId="68" xfId="0" applyFont="1" applyBorder="1" applyAlignment="1">
      <alignment horizontal="right"/>
    </xf>
    <xf numFmtId="0" fontId="31" fillId="0" borderId="63" xfId="0" applyFont="1" applyBorder="1" applyAlignment="1">
      <alignment horizontal="right"/>
    </xf>
    <xf numFmtId="0" fontId="32" fillId="0" borderId="0" xfId="0" applyFont="1" applyAlignment="1">
      <alignment horizontal="center" vertical="top" wrapText="1"/>
    </xf>
    <xf numFmtId="0" fontId="32" fillId="0" borderId="40" xfId="0" applyFont="1" applyBorder="1" applyAlignment="1">
      <alignment horizontal="center" vertical="top" wrapText="1"/>
    </xf>
    <xf numFmtId="0" fontId="31" fillId="0" borderId="0" xfId="0" applyFont="1" applyAlignment="1">
      <alignment horizontal="right"/>
    </xf>
    <xf numFmtId="0" fontId="31" fillId="0" borderId="40" xfId="0" applyFont="1" applyBorder="1" applyAlignment="1">
      <alignment horizontal="right"/>
    </xf>
    <xf numFmtId="0" fontId="28" fillId="0" borderId="0" xfId="0" applyFont="1" applyAlignment="1">
      <alignment horizontal="center" wrapText="1"/>
    </xf>
    <xf numFmtId="0" fontId="28" fillId="0" borderId="40" xfId="0" applyFont="1" applyBorder="1" applyAlignment="1">
      <alignment horizontal="center" wrapText="1"/>
    </xf>
    <xf numFmtId="0" fontId="32" fillId="0" borderId="0" xfId="0" applyFont="1" applyAlignment="1">
      <alignment horizontal="center" vertical="distributed" wrapText="1"/>
    </xf>
    <xf numFmtId="0" fontId="31" fillId="0" borderId="0" xfId="0" applyFont="1" applyAlignment="1">
      <alignment horizontal="center" vertical="distributed" wrapText="1"/>
    </xf>
    <xf numFmtId="0" fontId="27" fillId="0" borderId="60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40" xfId="0" applyFont="1" applyBorder="1" applyAlignment="1">
      <alignment horizontal="center" vertical="top"/>
    </xf>
    <xf numFmtId="0" fontId="28" fillId="0" borderId="0" xfId="1" applyFont="1" applyAlignment="1">
      <alignment horizontal="left"/>
    </xf>
    <xf numFmtId="0" fontId="12" fillId="0" borderId="20" xfId="0" applyFont="1" applyBorder="1" applyAlignment="1">
      <alignment horizontal="right"/>
    </xf>
    <xf numFmtId="0" fontId="52" fillId="0" borderId="20" xfId="0" applyFont="1" applyBorder="1" applyAlignment="1">
      <alignment horizontal="right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8" fillId="0" borderId="6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3" fontId="27" fillId="0" borderId="6" xfId="1" applyNumberFormat="1" applyFont="1" applyBorder="1" applyAlignment="1">
      <alignment horizontal="center" vertical="center"/>
    </xf>
    <xf numFmtId="3" fontId="27" fillId="0" borderId="7" xfId="1" applyNumberFormat="1" applyFont="1" applyBorder="1" applyAlignment="1">
      <alignment horizontal="center" vertical="center"/>
    </xf>
    <xf numFmtId="0" fontId="27" fillId="0" borderId="0" xfId="1" applyFont="1" applyAlignment="1">
      <alignment horizontal="left" wrapText="1"/>
    </xf>
    <xf numFmtId="0" fontId="28" fillId="0" borderId="0" xfId="1" applyFont="1" applyAlignment="1">
      <alignment horizontal="center" wrapText="1"/>
    </xf>
    <xf numFmtId="0" fontId="10" fillId="0" borderId="3" xfId="1" applyFont="1" applyBorder="1" applyAlignment="1">
      <alignment horizontal="center"/>
    </xf>
    <xf numFmtId="0" fontId="23" fillId="0" borderId="0" xfId="0" applyFont="1"/>
    <xf numFmtId="0" fontId="51" fillId="0" borderId="0" xfId="0" applyFont="1" applyAlignment="1">
      <alignment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51" fillId="0" borderId="3" xfId="0" applyFont="1" applyBorder="1" applyAlignment="1">
      <alignment horizontal="center"/>
    </xf>
    <xf numFmtId="0" fontId="51" fillId="0" borderId="3" xfId="0" applyFont="1" applyBorder="1" applyAlignment="1">
      <alignment horizontal="center" wrapText="1"/>
    </xf>
    <xf numFmtId="0" fontId="54" fillId="0" borderId="0" xfId="0" applyFont="1" applyAlignment="1">
      <alignment horizontal="center"/>
    </xf>
    <xf numFmtId="0" fontId="54" fillId="0" borderId="0" xfId="0" applyFont="1"/>
    <xf numFmtId="0" fontId="23" fillId="0" borderId="3" xfId="0" applyFont="1" applyBorder="1"/>
    <xf numFmtId="0" fontId="23" fillId="9" borderId="6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0" fillId="0" borderId="8" xfId="0" applyBorder="1" applyAlignment="1">
      <alignment horizontal="left"/>
    </xf>
  </cellXfs>
  <cellStyles count="6">
    <cellStyle name="Ezres" xfId="5" builtinId="3"/>
    <cellStyle name="Ezres 2" xfId="3" xr:uid="{00000000-0005-0000-0000-000001000000}"/>
    <cellStyle name="Ezres 3" xfId="4" xr:uid="{00000000-0005-0000-0000-000002000000}"/>
    <cellStyle name="Normál" xfId="0" builtinId="0"/>
    <cellStyle name="Normál 2" xfId="2" xr:uid="{00000000-0005-0000-0000-000004000000}"/>
    <cellStyle name="Normál 3" xfId="1" xr:uid="{00000000-0005-0000-0000-000005000000}"/>
  </cellStyles>
  <dxfs count="43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</dxfs>
  <tableStyles count="0" defaultTableStyle="TableStyleMedium9" defaultPivotStyle="PivotStyleLight16"/>
  <colors>
    <mruColors>
      <color rgb="FFFF6699"/>
      <color rgb="FFCF30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TEST&#220;LETI%20ANYAGOK_\J&#211;V&#193;HAGYOTT\2025\2025.06.25.%20rendes\Horv&#225;thn&#233;_HR_2025.%20&#233;vi%20k&#246;lts&#233;gvet&#233;s%20m&#243;dos&#237;t&#225;sa\2025.%20&#233;vi_Rendelet%20mell&#233;kletek%201.sz%20.m&#243;dos&#237;t&#225;s%2020250525_KV.xlsx" TargetMode="External"/><Relationship Id="rId1" Type="http://schemas.openxmlformats.org/officeDocument/2006/relationships/externalLinkPath" Target="file:///U:\TEST&#220;LETI%20ANYAGOK_\J&#211;V&#193;HAGYOTT\2025\2025.06.25.%20rendes\Horv&#225;thn&#233;_HR_2025.%20&#233;vi%20k&#246;lts&#233;gvet&#233;s%20m&#243;dos&#237;t&#225;sa\2025.%20&#233;vi_Rendelet%20mell&#233;kletek%201.sz%20.m&#243;dos&#237;t&#225;s%2020250525_K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rakonczaierika\Desktop\El&#337;ir&#225;nyzatm&#243;dos&#237;t&#243;%20t&#225;bla%202019.06.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kai.rita\Downloads\16_2025_IX25_onkrend.mell%20(1).xlsx" TargetMode="External"/><Relationship Id="rId1" Type="http://schemas.openxmlformats.org/officeDocument/2006/relationships/externalLinkPath" Target="file:///C:\Users\harkai.rita\Downloads\16_2025_IX25_onkrend.mell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vargane.eva\AppData\Local\Microsoft\Windows\Temporary%20Internet%20Files\Content.Outlook\5Z7JJZ54\Egys&#233;ges%20rendelet%2020180207%20k&#246;telez&#337;ve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l&#337;ir&#225;nyzat%20m&#243;dos&#237;t&#225;s%20190626\Egys&#233;ges%20rendelet_2019062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kai.rita\Downloads\kt_21_2025_XII11_onkrend_mell.xlsx" TargetMode="External"/><Relationship Id="rId1" Type="http://schemas.openxmlformats.org/officeDocument/2006/relationships/externalLinkPath" Target="file:///C:\Users\harkai.rita\Downloads\kt_21_2025_XII11_onkrend_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vételek 1m"/>
      <sheetName val="Kiadások 2m"/>
      <sheetName val="Normatíva 3m"/>
      <sheetName val="Beruházások 4m"/>
      <sheetName val="Támogatás 5m"/>
      <sheetName val="Felújítás 6m"/>
      <sheetName val=" Tartalék 7m"/>
      <sheetName val=" Gördülő 8m"/>
      <sheetName val="Mérleg 9m "/>
    </sheetNames>
    <sheetDataSet>
      <sheetData sheetId="0">
        <row r="65">
          <cell r="S65">
            <v>681007</v>
          </cell>
          <cell r="T65">
            <v>802544</v>
          </cell>
          <cell r="U65">
            <v>0</v>
          </cell>
          <cell r="V65">
            <v>802544</v>
          </cell>
        </row>
        <row r="95">
          <cell r="S95">
            <v>588141</v>
          </cell>
          <cell r="T95">
            <v>734429</v>
          </cell>
          <cell r="U95">
            <v>-33723</v>
          </cell>
          <cell r="V95">
            <v>700706</v>
          </cell>
        </row>
        <row r="125">
          <cell r="S125">
            <v>145212</v>
          </cell>
          <cell r="T125">
            <v>133397</v>
          </cell>
          <cell r="U125">
            <v>0</v>
          </cell>
          <cell r="V125">
            <v>133397</v>
          </cell>
        </row>
        <row r="155">
          <cell r="S155">
            <v>731374</v>
          </cell>
          <cell r="T155">
            <v>764384</v>
          </cell>
          <cell r="U155">
            <v>24573</v>
          </cell>
          <cell r="V155">
            <v>788957</v>
          </cell>
        </row>
        <row r="161">
          <cell r="K161">
            <v>91627</v>
          </cell>
          <cell r="L161">
            <v>1148754</v>
          </cell>
          <cell r="M161">
            <v>42016</v>
          </cell>
          <cell r="N161">
            <v>1190770</v>
          </cell>
          <cell r="O161">
            <v>1077811</v>
          </cell>
          <cell r="R161">
            <v>1788019</v>
          </cell>
          <cell r="S161">
            <v>1983647</v>
          </cell>
          <cell r="T161">
            <v>2352080</v>
          </cell>
          <cell r="U161">
            <v>216192</v>
          </cell>
          <cell r="V161">
            <v>2568272</v>
          </cell>
        </row>
        <row r="171">
          <cell r="K171">
            <v>118433</v>
          </cell>
          <cell r="L171">
            <v>611642</v>
          </cell>
          <cell r="M171">
            <v>46000</v>
          </cell>
          <cell r="N171">
            <v>657642</v>
          </cell>
          <cell r="O171">
            <v>532113</v>
          </cell>
          <cell r="R171">
            <v>821690</v>
          </cell>
          <cell r="S171">
            <v>735184</v>
          </cell>
          <cell r="T171">
            <v>728591</v>
          </cell>
          <cell r="U171">
            <v>36445</v>
          </cell>
          <cell r="V171">
            <v>765036</v>
          </cell>
        </row>
        <row r="172">
          <cell r="K172">
            <v>0</v>
          </cell>
          <cell r="L172">
            <v>0</v>
          </cell>
          <cell r="O172">
            <v>9200</v>
          </cell>
          <cell r="R172">
            <v>0</v>
          </cell>
          <cell r="S172">
            <v>0</v>
          </cell>
          <cell r="T172">
            <v>100000</v>
          </cell>
          <cell r="U172">
            <v>0</v>
          </cell>
          <cell r="V172">
            <v>100000</v>
          </cell>
        </row>
        <row r="175">
          <cell r="R175">
            <v>395000</v>
          </cell>
          <cell r="S175">
            <v>400000</v>
          </cell>
          <cell r="T175">
            <v>405000</v>
          </cell>
          <cell r="U175">
            <v>0</v>
          </cell>
          <cell r="V175">
            <v>405000</v>
          </cell>
        </row>
        <row r="176">
          <cell r="R176">
            <v>1575000</v>
          </cell>
          <cell r="S176">
            <v>1910000</v>
          </cell>
          <cell r="T176">
            <v>2035000</v>
          </cell>
          <cell r="U176">
            <v>0</v>
          </cell>
          <cell r="V176">
            <v>2035000</v>
          </cell>
        </row>
        <row r="177">
          <cell r="R177">
            <v>4000</v>
          </cell>
          <cell r="S177">
            <v>6000</v>
          </cell>
          <cell r="T177">
            <v>4000</v>
          </cell>
          <cell r="U177">
            <v>0</v>
          </cell>
          <cell r="V177">
            <v>4000</v>
          </cell>
        </row>
        <row r="179"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1">
          <cell r="K181">
            <v>0</v>
          </cell>
          <cell r="L181">
            <v>4000</v>
          </cell>
          <cell r="M181">
            <v>0</v>
          </cell>
          <cell r="N181">
            <v>4000</v>
          </cell>
          <cell r="O181">
            <v>59999</v>
          </cell>
          <cell r="R181">
            <v>3117203</v>
          </cell>
          <cell r="S181">
            <v>2530054</v>
          </cell>
          <cell r="T181">
            <v>704629</v>
          </cell>
          <cell r="U181">
            <v>273793</v>
          </cell>
          <cell r="V181">
            <v>978422</v>
          </cell>
        </row>
        <row r="182">
          <cell r="L182">
            <v>105000</v>
          </cell>
          <cell r="M182">
            <v>0</v>
          </cell>
          <cell r="O182">
            <v>195260</v>
          </cell>
          <cell r="R182">
            <v>366800</v>
          </cell>
          <cell r="S182">
            <v>157407</v>
          </cell>
          <cell r="T182">
            <v>272390</v>
          </cell>
          <cell r="U182">
            <v>323</v>
          </cell>
          <cell r="V182">
            <v>272713</v>
          </cell>
        </row>
        <row r="183">
          <cell r="L183">
            <v>0</v>
          </cell>
          <cell r="M183">
            <v>150000</v>
          </cell>
          <cell r="N183">
            <v>150000</v>
          </cell>
          <cell r="O183">
            <v>0</v>
          </cell>
          <cell r="R183">
            <v>25127</v>
          </cell>
          <cell r="S183">
            <v>73478</v>
          </cell>
          <cell r="T183">
            <v>75953</v>
          </cell>
          <cell r="U183">
            <v>0</v>
          </cell>
          <cell r="V183">
            <v>75953</v>
          </cell>
        </row>
        <row r="185">
          <cell r="M185">
            <v>0</v>
          </cell>
          <cell r="N185">
            <v>4359163</v>
          </cell>
          <cell r="O185">
            <v>1882279</v>
          </cell>
        </row>
        <row r="186">
          <cell r="U186">
            <v>3624</v>
          </cell>
        </row>
        <row r="188">
          <cell r="M188">
            <v>0</v>
          </cell>
          <cell r="N188">
            <v>395613</v>
          </cell>
        </row>
        <row r="190">
          <cell r="R190">
            <v>12106839</v>
          </cell>
          <cell r="S190">
            <v>9741730</v>
          </cell>
          <cell r="T190">
            <v>7472143</v>
          </cell>
          <cell r="U190">
            <v>556414</v>
          </cell>
          <cell r="V190">
            <v>8028557</v>
          </cell>
        </row>
      </sheetData>
      <sheetData sheetId="1">
        <row r="15">
          <cell r="O15">
            <v>44077</v>
          </cell>
          <cell r="P15">
            <v>120090</v>
          </cell>
          <cell r="Q15">
            <v>138474</v>
          </cell>
          <cell r="R15">
            <v>99843</v>
          </cell>
          <cell r="S15">
            <v>132522</v>
          </cell>
        </row>
        <row r="17">
          <cell r="R17">
            <v>222074</v>
          </cell>
          <cell r="S17">
            <v>202181</v>
          </cell>
          <cell r="T17">
            <v>-3494</v>
          </cell>
          <cell r="U17">
            <v>198687</v>
          </cell>
        </row>
        <row r="140">
          <cell r="J140">
            <v>53537</v>
          </cell>
          <cell r="K140">
            <v>1429685</v>
          </cell>
          <cell r="L140">
            <v>41734</v>
          </cell>
          <cell r="M140">
            <v>1471419</v>
          </cell>
          <cell r="N140">
            <v>1256567</v>
          </cell>
          <cell r="Q140">
            <v>1412680</v>
          </cell>
          <cell r="R140">
            <v>1662466</v>
          </cell>
          <cell r="S140">
            <v>2007345</v>
          </cell>
          <cell r="T140">
            <v>172194</v>
          </cell>
          <cell r="U140">
            <v>2179539</v>
          </cell>
        </row>
        <row r="141">
          <cell r="J141">
            <v>15126</v>
          </cell>
          <cell r="K141">
            <v>262155</v>
          </cell>
          <cell r="L141">
            <v>10974</v>
          </cell>
          <cell r="M141">
            <v>273129</v>
          </cell>
          <cell r="N141">
            <v>225299</v>
          </cell>
          <cell r="Q141">
            <v>211865</v>
          </cell>
          <cell r="R141">
            <v>242869</v>
          </cell>
          <cell r="S141">
            <v>295559</v>
          </cell>
          <cell r="T141">
            <v>11763</v>
          </cell>
          <cell r="U141">
            <v>307322</v>
          </cell>
        </row>
        <row r="142">
          <cell r="J142">
            <v>379651</v>
          </cell>
          <cell r="K142">
            <v>1810172</v>
          </cell>
          <cell r="L142">
            <v>148793</v>
          </cell>
          <cell r="M142">
            <v>1958965</v>
          </cell>
          <cell r="N142">
            <v>1351839</v>
          </cell>
          <cell r="Q142">
            <v>3585852</v>
          </cell>
          <cell r="R142">
            <v>2751335</v>
          </cell>
          <cell r="S142">
            <v>2286860</v>
          </cell>
          <cell r="T142">
            <v>66710</v>
          </cell>
          <cell r="U142">
            <v>2353570</v>
          </cell>
        </row>
        <row r="143">
          <cell r="J143">
            <v>2724</v>
          </cell>
          <cell r="K143">
            <v>135224</v>
          </cell>
          <cell r="L143">
            <v>0</v>
          </cell>
          <cell r="M143">
            <v>135224</v>
          </cell>
          <cell r="N143">
            <v>149500</v>
          </cell>
          <cell r="Q143">
            <v>98650</v>
          </cell>
          <cell r="R143">
            <v>176650</v>
          </cell>
          <cell r="S143">
            <v>166650</v>
          </cell>
          <cell r="T143">
            <v>0</v>
          </cell>
          <cell r="U143">
            <v>166650</v>
          </cell>
        </row>
        <row r="144">
          <cell r="J144">
            <v>-205064</v>
          </cell>
          <cell r="K144">
            <v>1103114</v>
          </cell>
          <cell r="L144">
            <v>-183050</v>
          </cell>
          <cell r="M144">
            <v>920064</v>
          </cell>
          <cell r="N144">
            <v>901980</v>
          </cell>
          <cell r="Q144">
            <v>1597610</v>
          </cell>
          <cell r="R144">
            <v>1344387</v>
          </cell>
          <cell r="S144">
            <v>1726055</v>
          </cell>
          <cell r="T144">
            <v>28576</v>
          </cell>
          <cell r="U144">
            <v>1754631</v>
          </cell>
        </row>
        <row r="146">
          <cell r="T146">
            <v>8542</v>
          </cell>
          <cell r="U146">
            <v>141064</v>
          </cell>
        </row>
        <row r="147">
          <cell r="O147">
            <v>487345</v>
          </cell>
          <cell r="P147">
            <v>665800</v>
          </cell>
          <cell r="Q147">
            <v>577600</v>
          </cell>
          <cell r="R147">
            <v>560100</v>
          </cell>
          <cell r="S147">
            <v>827437</v>
          </cell>
          <cell r="T147">
            <v>9077</v>
          </cell>
          <cell r="U147">
            <v>836514</v>
          </cell>
        </row>
        <row r="148">
          <cell r="J148">
            <v>-212854</v>
          </cell>
          <cell r="L148">
            <v>-156406</v>
          </cell>
          <cell r="O148">
            <v>542717</v>
          </cell>
          <cell r="P148">
            <v>430053</v>
          </cell>
          <cell r="Q148">
            <v>218351</v>
          </cell>
          <cell r="R148">
            <v>222074</v>
          </cell>
          <cell r="S148">
            <v>202181</v>
          </cell>
          <cell r="T148">
            <v>-3494</v>
          </cell>
          <cell r="U148">
            <v>198687</v>
          </cell>
        </row>
        <row r="149">
          <cell r="O149">
            <v>132149</v>
          </cell>
          <cell r="P149">
            <v>88281</v>
          </cell>
          <cell r="Q149">
            <v>373698</v>
          </cell>
          <cell r="R149">
            <v>53915</v>
          </cell>
          <cell r="S149">
            <v>53915</v>
          </cell>
          <cell r="T149">
            <v>0</v>
          </cell>
          <cell r="U149">
            <v>53915</v>
          </cell>
        </row>
        <row r="151">
          <cell r="J151">
            <v>-398223</v>
          </cell>
          <cell r="K151">
            <v>2437804</v>
          </cell>
          <cell r="L151">
            <v>213502</v>
          </cell>
          <cell r="M151">
            <v>2651306</v>
          </cell>
          <cell r="N151">
            <v>848063</v>
          </cell>
          <cell r="Q151">
            <v>4983477</v>
          </cell>
          <cell r="R151">
            <v>3335248</v>
          </cell>
          <cell r="S151">
            <v>282003</v>
          </cell>
          <cell r="T151">
            <v>12586</v>
          </cell>
          <cell r="U151">
            <v>294589</v>
          </cell>
        </row>
        <row r="152">
          <cell r="J152">
            <v>350622</v>
          </cell>
          <cell r="K152">
            <v>1023493</v>
          </cell>
          <cell r="L152">
            <v>9149</v>
          </cell>
          <cell r="M152">
            <v>1032642</v>
          </cell>
          <cell r="N152">
            <v>673774</v>
          </cell>
          <cell r="O152">
            <v>305944</v>
          </cell>
          <cell r="P152">
            <v>1165769</v>
          </cell>
          <cell r="Q152">
            <v>151154</v>
          </cell>
          <cell r="R152">
            <v>31250</v>
          </cell>
          <cell r="S152">
            <v>535214</v>
          </cell>
          <cell r="T152">
            <v>264574</v>
          </cell>
          <cell r="U152">
            <v>799788</v>
          </cell>
        </row>
        <row r="153">
          <cell r="J153">
            <v>11687</v>
          </cell>
          <cell r="K153">
            <v>48687</v>
          </cell>
          <cell r="L153">
            <v>0</v>
          </cell>
          <cell r="M153">
            <v>48687</v>
          </cell>
          <cell r="N153">
            <v>55000</v>
          </cell>
          <cell r="O153">
            <v>0</v>
          </cell>
          <cell r="P153">
            <v>0</v>
          </cell>
          <cell r="Q153">
            <v>2114</v>
          </cell>
          <cell r="R153">
            <v>124445</v>
          </cell>
          <cell r="S153">
            <v>90681</v>
          </cell>
          <cell r="T153">
            <v>11</v>
          </cell>
          <cell r="U153">
            <v>90692</v>
          </cell>
        </row>
        <row r="160">
          <cell r="L160">
            <v>0</v>
          </cell>
          <cell r="M160">
            <v>25752</v>
          </cell>
          <cell r="N160">
            <v>35640</v>
          </cell>
          <cell r="Q160">
            <v>63437</v>
          </cell>
          <cell r="R160">
            <v>73080</v>
          </cell>
          <cell r="S160">
            <v>81776</v>
          </cell>
          <cell r="T160">
            <v>0</v>
          </cell>
          <cell r="U160">
            <v>81776</v>
          </cell>
        </row>
        <row r="161">
          <cell r="Q161">
            <v>1834121</v>
          </cell>
          <cell r="R161">
            <v>2145734</v>
          </cell>
          <cell r="S161">
            <v>2434754</v>
          </cell>
          <cell r="T161">
            <v>-9150</v>
          </cell>
          <cell r="U161">
            <v>2425604</v>
          </cell>
        </row>
        <row r="162">
          <cell r="O162">
            <v>1325586</v>
          </cell>
          <cell r="P162">
            <v>1525270</v>
          </cell>
          <cell r="Q162">
            <v>1834121</v>
          </cell>
          <cell r="R162">
            <v>2145734</v>
          </cell>
          <cell r="S162">
            <v>2434754</v>
          </cell>
          <cell r="T162">
            <v>-9150</v>
          </cell>
          <cell r="U162">
            <v>2425604</v>
          </cell>
        </row>
        <row r="163">
          <cell r="O163">
            <v>5318868</v>
          </cell>
          <cell r="P163">
            <v>16526368</v>
          </cell>
          <cell r="Q163">
            <v>12106839</v>
          </cell>
          <cell r="R163">
            <v>9741730</v>
          </cell>
          <cell r="S163">
            <v>7472143</v>
          </cell>
          <cell r="T163">
            <v>556414</v>
          </cell>
          <cell r="U163">
            <v>8028557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AC33">
            <v>12106839</v>
          </cell>
          <cell r="AD33">
            <v>9741730</v>
          </cell>
          <cell r="AE33">
            <v>7472143</v>
          </cell>
          <cell r="AF33">
            <v>556414</v>
          </cell>
          <cell r="AG33">
            <v>8028557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adások"/>
      <sheetName val="Bevételek"/>
      <sheetName val="Kiad-Mód"/>
      <sheetName val="Bev-Mód"/>
      <sheetName val="Munka1"/>
    </sheetNames>
    <sheetDataSet>
      <sheetData sheetId="0" refreshError="1"/>
      <sheetData sheetId="1" refreshError="1"/>
      <sheetData sheetId="2" refreshError="1">
        <row r="13">
          <cell r="F13">
            <v>0</v>
          </cell>
        </row>
        <row r="24">
          <cell r="F24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9">
          <cell r="F69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6">
          <cell r="F106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25">
          <cell r="F125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4">
          <cell r="F134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vételek 1m"/>
      <sheetName val="Kiadások 2m"/>
      <sheetName val="Normatíva 3m"/>
      <sheetName val="Beruházások 4m"/>
      <sheetName val="Támogatás 6m"/>
      <sheetName val="Felújítás 7m"/>
      <sheetName val="Tartalék 10m"/>
      <sheetName val="Gördülő 11m"/>
      <sheetName val="Mérleg 17m"/>
    </sheetNames>
    <sheetDataSet>
      <sheetData sheetId="0">
        <row r="162">
          <cell r="W162">
            <v>52672</v>
          </cell>
        </row>
        <row r="172">
          <cell r="W172">
            <v>12033</v>
          </cell>
        </row>
        <row r="173">
          <cell r="W173">
            <v>0</v>
          </cell>
        </row>
        <row r="176">
          <cell r="W176">
            <v>0</v>
          </cell>
        </row>
        <row r="178">
          <cell r="X178">
            <v>4000</v>
          </cell>
        </row>
        <row r="182">
          <cell r="W182">
            <v>0</v>
          </cell>
        </row>
        <row r="183">
          <cell r="X183">
            <v>272713</v>
          </cell>
        </row>
        <row r="184">
          <cell r="W184">
            <v>3111</v>
          </cell>
          <cell r="X184">
            <v>79064</v>
          </cell>
        </row>
        <row r="186">
          <cell r="X186">
            <v>820537</v>
          </cell>
        </row>
        <row r="187">
          <cell r="X187">
            <v>3624</v>
          </cell>
        </row>
      </sheetData>
      <sheetData sheetId="1">
        <row r="140">
          <cell r="W140">
            <v>6820498</v>
          </cell>
        </row>
        <row r="141">
          <cell r="V141">
            <v>56922</v>
          </cell>
        </row>
        <row r="142">
          <cell r="V142">
            <v>9405</v>
          </cell>
        </row>
        <row r="143">
          <cell r="V143">
            <v>7430</v>
          </cell>
        </row>
        <row r="144">
          <cell r="V144">
            <v>0</v>
          </cell>
        </row>
        <row r="145">
          <cell r="V145">
            <v>-14971</v>
          </cell>
        </row>
        <row r="152">
          <cell r="V152">
            <v>-18200</v>
          </cell>
        </row>
        <row r="153">
          <cell r="V153">
            <v>27230</v>
          </cell>
        </row>
        <row r="162">
          <cell r="V162">
            <v>49094</v>
          </cell>
        </row>
        <row r="164">
          <cell r="V164">
            <v>67816</v>
          </cell>
          <cell r="W164">
            <v>8096373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ételek"/>
      <sheetName val="Kiadások"/>
      <sheetName val="Normatíva"/>
      <sheetName val="Beruházások"/>
      <sheetName val="Szociális"/>
      <sheetName val="Támogatás"/>
      <sheetName val="Felújítás"/>
      <sheetName val="Létszám"/>
      <sheetName val="Közvetett"/>
      <sheetName val=" Tartalék 10m"/>
      <sheetName val=" Gördülő 11m"/>
      <sheetName val="Kötelezettség 12m"/>
      <sheetName val="Hitel 13m"/>
      <sheetName val="Adósság 14m"/>
      <sheetName val="Likvid 15m"/>
      <sheetName val="Kötelező 16m"/>
      <sheetName val="Unio 17m"/>
      <sheetName val="Mérleg 18 m"/>
      <sheetName val="Címrend 19m"/>
    </sheetNames>
    <sheetDataSet>
      <sheetData sheetId="0" refreshError="1"/>
      <sheetData sheetId="1" refreshError="1">
        <row r="7">
          <cell r="F7">
            <v>126622</v>
          </cell>
        </row>
        <row r="41">
          <cell r="F41">
            <v>0</v>
          </cell>
        </row>
        <row r="69">
          <cell r="F69">
            <v>0</v>
          </cell>
        </row>
        <row r="125">
          <cell r="F12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ételek"/>
      <sheetName val="Kiadások"/>
      <sheetName val="Normatíva"/>
      <sheetName val="Beruházások"/>
      <sheetName val="Szociális"/>
      <sheetName val="Támogatás"/>
      <sheetName val="Felújítás"/>
      <sheetName val="Létszám"/>
      <sheetName val="Közvetett "/>
      <sheetName val=" Tartalék 10m"/>
      <sheetName val=" Gördülő 11m"/>
      <sheetName val="Kötelezettség 12m"/>
      <sheetName val="Hitel 13m"/>
      <sheetName val="Likvid 14m"/>
      <sheetName val="Kötelező 15m"/>
      <sheetName val="Unio 16m"/>
      <sheetName val="Mérleg 17m"/>
      <sheetName val="Címrend 18m"/>
      <sheetName val="Munka1"/>
    </sheetNames>
    <sheetDataSet>
      <sheetData sheetId="0" refreshError="1">
        <row r="163">
          <cell r="G163">
            <v>869953</v>
          </cell>
        </row>
        <row r="173">
          <cell r="G173">
            <v>488190</v>
          </cell>
        </row>
        <row r="174">
          <cell r="G174">
            <v>0</v>
          </cell>
        </row>
        <row r="176">
          <cell r="G176">
            <v>0</v>
          </cell>
        </row>
        <row r="183">
          <cell r="G183">
            <v>105000</v>
          </cell>
        </row>
        <row r="186">
          <cell r="G186">
            <v>3761803</v>
          </cell>
        </row>
      </sheetData>
      <sheetData sheetId="1" refreshError="1">
        <row r="150">
          <cell r="F150">
            <v>1098520</v>
          </cell>
        </row>
        <row r="151">
          <cell r="F151">
            <v>212275</v>
          </cell>
        </row>
        <row r="152">
          <cell r="F152">
            <v>1029983</v>
          </cell>
        </row>
        <row r="153">
          <cell r="F153">
            <v>108500</v>
          </cell>
        </row>
        <row r="154">
          <cell r="F154">
            <v>820174</v>
          </cell>
        </row>
        <row r="163">
          <cell r="F163">
            <v>3274039</v>
          </cell>
        </row>
        <row r="164">
          <cell r="F164">
            <v>677316</v>
          </cell>
        </row>
        <row r="165">
          <cell r="F165">
            <v>29000</v>
          </cell>
        </row>
        <row r="172">
          <cell r="F172">
            <v>25752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vételek 1m."/>
      <sheetName val="Kiadások 2m."/>
      <sheetName val="Normatíva 3m."/>
      <sheetName val="Beruházások 4m."/>
      <sheetName val="Szociális 5m"/>
      <sheetName val="Támogatás 6m."/>
      <sheetName val="Felújítás 7m."/>
      <sheetName val="Tartalék 8m."/>
      <sheetName val="Gördülő 9m."/>
      <sheetName val="Mérleg 10m."/>
    </sheetNames>
    <sheetDataSet>
      <sheetData sheetId="0">
        <row r="96">
          <cell r="Y96">
            <v>7245</v>
          </cell>
        </row>
        <row r="156">
          <cell r="Y156">
            <v>14092</v>
          </cell>
        </row>
        <row r="162">
          <cell r="Y162">
            <v>23875</v>
          </cell>
        </row>
        <row r="163">
          <cell r="Z163">
            <v>2264741</v>
          </cell>
        </row>
        <row r="171">
          <cell r="Z171">
            <v>364078</v>
          </cell>
        </row>
        <row r="172">
          <cell r="Y172">
            <v>800</v>
          </cell>
          <cell r="Z172">
            <v>777869</v>
          </cell>
        </row>
        <row r="173">
          <cell r="Y173">
            <v>6900</v>
          </cell>
          <cell r="Z173">
            <v>106900</v>
          </cell>
        </row>
        <row r="176">
          <cell r="Z176">
            <v>405000</v>
          </cell>
        </row>
        <row r="177">
          <cell r="Y177">
            <v>208500</v>
          </cell>
          <cell r="Z177">
            <v>2243500</v>
          </cell>
        </row>
        <row r="182">
          <cell r="Y182">
            <v>163460</v>
          </cell>
          <cell r="Z182">
            <v>1141882</v>
          </cell>
        </row>
      </sheetData>
      <sheetData sheetId="1">
        <row r="140">
          <cell r="Y140">
            <v>7060573</v>
          </cell>
        </row>
        <row r="141">
          <cell r="X141">
            <v>22010</v>
          </cell>
        </row>
        <row r="142">
          <cell r="X142">
            <v>2595</v>
          </cell>
        </row>
        <row r="143">
          <cell r="X143">
            <v>13430</v>
          </cell>
        </row>
        <row r="144">
          <cell r="X144">
            <v>1170</v>
          </cell>
        </row>
        <row r="145">
          <cell r="X145">
            <v>200870</v>
          </cell>
        </row>
        <row r="151">
          <cell r="Y151">
            <v>1357559</v>
          </cell>
        </row>
        <row r="152">
          <cell r="X152">
            <v>20092</v>
          </cell>
        </row>
        <row r="153">
          <cell r="X153">
            <v>143368</v>
          </cell>
        </row>
        <row r="154">
          <cell r="X154">
            <v>0</v>
          </cell>
        </row>
        <row r="158">
          <cell r="Y158">
            <v>2577811</v>
          </cell>
        </row>
        <row r="161">
          <cell r="X161">
            <v>0</v>
          </cell>
        </row>
        <row r="162">
          <cell r="X162">
            <v>21337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C3F-C989-4213-9586-B3DE9794ADD3}">
  <dimension ref="A1:Z197"/>
  <sheetViews>
    <sheetView view="pageBreakPreview" topLeftCell="A164" zoomScale="80" zoomScaleNormal="100" zoomScaleSheetLayoutView="80" workbookViewId="0">
      <selection activeCell="A191" sqref="A191:Z191"/>
    </sheetView>
  </sheetViews>
  <sheetFormatPr defaultColWidth="9.140625" defaultRowHeight="15"/>
  <cols>
    <col min="1" max="1" width="6.42578125" customWidth="1"/>
    <col min="2" max="3" width="5.42578125" customWidth="1"/>
    <col min="4" max="4" width="6.42578125" customWidth="1"/>
    <col min="5" max="5" width="86.42578125" style="4" customWidth="1"/>
    <col min="6" max="7" width="13.85546875" hidden="1" customWidth="1"/>
    <col min="8" max="8" width="15.140625" hidden="1" customWidth="1"/>
    <col min="9" max="9" width="13.85546875" hidden="1" customWidth="1"/>
    <col min="10" max="10" width="13.42578125" hidden="1" customWidth="1"/>
    <col min="11" max="11" width="14.42578125" hidden="1" customWidth="1"/>
    <col min="12" max="12" width="14.85546875" hidden="1" customWidth="1"/>
    <col min="13" max="13" width="14.140625" hidden="1" customWidth="1"/>
    <col min="14" max="14" width="14.85546875" hidden="1" customWidth="1"/>
    <col min="15" max="18" width="15.42578125" hidden="1" customWidth="1"/>
    <col min="19" max="19" width="15.42578125" customWidth="1"/>
    <col min="20" max="20" width="15.42578125" style="557" customWidth="1"/>
    <col min="21" max="21" width="14.140625" style="622" hidden="1" customWidth="1"/>
    <col min="22" max="22" width="14.85546875" customWidth="1"/>
    <col min="23" max="23" width="14.140625" style="622" hidden="1" customWidth="1"/>
    <col min="24" max="24" width="14.85546875" style="622" customWidth="1"/>
    <col min="25" max="25" width="14.140625" style="622" customWidth="1"/>
    <col min="26" max="26" width="14.85546875" style="622" customWidth="1"/>
  </cols>
  <sheetData>
    <row r="1" spans="1:26" s="633" customFormat="1">
      <c r="A1" s="679" t="s">
        <v>636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</row>
    <row r="2" spans="1:26" s="622" customFormat="1" ht="15.75">
      <c r="E2" s="909"/>
      <c r="S2" s="560"/>
      <c r="V2" s="560" t="s">
        <v>71</v>
      </c>
      <c r="X2" s="560"/>
      <c r="Z2" s="560" t="s">
        <v>56</v>
      </c>
    </row>
    <row r="3" spans="1:26" s="622" customFormat="1">
      <c r="A3" s="569"/>
      <c r="B3" s="561" t="s">
        <v>414</v>
      </c>
      <c r="C3" s="561" t="s">
        <v>415</v>
      </c>
      <c r="D3" s="561" t="s">
        <v>416</v>
      </c>
      <c r="E3" s="629" t="s">
        <v>417</v>
      </c>
      <c r="F3" s="561"/>
      <c r="G3" s="561"/>
      <c r="H3" s="561"/>
      <c r="I3" s="561"/>
      <c r="J3" s="561"/>
      <c r="K3" s="561"/>
      <c r="L3" s="561"/>
      <c r="M3" s="561"/>
      <c r="N3" s="561"/>
      <c r="O3" s="629" t="s">
        <v>418</v>
      </c>
      <c r="P3" s="561" t="s">
        <v>461</v>
      </c>
      <c r="Q3" s="629" t="s">
        <v>461</v>
      </c>
      <c r="R3" s="561" t="s">
        <v>461</v>
      </c>
      <c r="S3" s="561" t="s">
        <v>461</v>
      </c>
      <c r="T3" s="561" t="s">
        <v>419</v>
      </c>
      <c r="U3" s="561" t="s">
        <v>424</v>
      </c>
      <c r="V3" s="561" t="s">
        <v>424</v>
      </c>
      <c r="W3" s="561" t="s">
        <v>425</v>
      </c>
      <c r="X3" s="561" t="s">
        <v>425</v>
      </c>
      <c r="Y3" s="561" t="s">
        <v>426</v>
      </c>
      <c r="Z3" s="561" t="s">
        <v>427</v>
      </c>
    </row>
    <row r="4" spans="1:26" s="5" customFormat="1" ht="90">
      <c r="A4" s="24">
        <v>1</v>
      </c>
      <c r="B4" s="680" t="s">
        <v>27</v>
      </c>
      <c r="C4" s="681"/>
      <c r="D4" s="681"/>
      <c r="E4" s="681"/>
      <c r="F4" s="6" t="s">
        <v>107</v>
      </c>
      <c r="G4" s="32" t="s">
        <v>113</v>
      </c>
      <c r="H4" s="6" t="s">
        <v>112</v>
      </c>
      <c r="I4" s="24" t="s">
        <v>111</v>
      </c>
      <c r="J4" s="6" t="s">
        <v>115</v>
      </c>
      <c r="K4" s="6" t="s">
        <v>111</v>
      </c>
      <c r="L4" s="76" t="s">
        <v>255</v>
      </c>
      <c r="M4" s="24" t="s">
        <v>111</v>
      </c>
      <c r="N4" s="76" t="s">
        <v>260</v>
      </c>
      <c r="O4" s="6" t="s">
        <v>457</v>
      </c>
      <c r="P4" s="6" t="s">
        <v>460</v>
      </c>
      <c r="Q4" s="6" t="s">
        <v>484</v>
      </c>
      <c r="R4" s="6" t="s">
        <v>501</v>
      </c>
      <c r="S4" s="6" t="s">
        <v>542</v>
      </c>
      <c r="T4" s="562" t="s">
        <v>581</v>
      </c>
      <c r="U4" s="623" t="s">
        <v>111</v>
      </c>
      <c r="V4" s="630" t="s">
        <v>609</v>
      </c>
      <c r="W4" s="623" t="s">
        <v>111</v>
      </c>
      <c r="X4" s="631" t="s">
        <v>637</v>
      </c>
      <c r="Y4" s="623" t="s">
        <v>111</v>
      </c>
      <c r="Z4" s="631" t="s">
        <v>582</v>
      </c>
    </row>
    <row r="5" spans="1:26">
      <c r="A5" s="115">
        <v>2</v>
      </c>
      <c r="B5" s="113" t="s">
        <v>0</v>
      </c>
      <c r="C5" s="3"/>
      <c r="D5" s="3"/>
      <c r="E5" s="7"/>
      <c r="F5" s="3" t="s">
        <v>24</v>
      </c>
      <c r="G5" s="3" t="s">
        <v>24</v>
      </c>
      <c r="H5" s="3" t="s">
        <v>24</v>
      </c>
      <c r="I5" s="3" t="s">
        <v>24</v>
      </c>
      <c r="J5" s="3" t="s">
        <v>24</v>
      </c>
      <c r="K5" s="3" t="s">
        <v>24</v>
      </c>
      <c r="L5" s="26" t="s">
        <v>24</v>
      </c>
      <c r="M5" s="26" t="s">
        <v>24</v>
      </c>
      <c r="N5" s="26" t="s">
        <v>24</v>
      </c>
      <c r="O5" s="3" t="s">
        <v>24</v>
      </c>
      <c r="P5" s="112" t="s">
        <v>24</v>
      </c>
      <c r="Q5" s="112" t="s">
        <v>24</v>
      </c>
      <c r="R5" s="112" t="s">
        <v>24</v>
      </c>
      <c r="S5" s="112" t="s">
        <v>24</v>
      </c>
      <c r="T5" s="563" t="s">
        <v>24</v>
      </c>
      <c r="U5" s="624" t="s">
        <v>24</v>
      </c>
      <c r="V5" s="26" t="s">
        <v>24</v>
      </c>
      <c r="W5" s="624" t="s">
        <v>24</v>
      </c>
      <c r="X5" s="624" t="s">
        <v>24</v>
      </c>
      <c r="Y5" s="624" t="s">
        <v>24</v>
      </c>
      <c r="Z5" s="624" t="s">
        <v>24</v>
      </c>
    </row>
    <row r="6" spans="1:26">
      <c r="A6" s="115">
        <v>3</v>
      </c>
      <c r="B6" s="113" t="s">
        <v>25</v>
      </c>
      <c r="C6" s="3"/>
      <c r="D6" s="3"/>
      <c r="E6" s="7"/>
      <c r="F6" s="3"/>
      <c r="G6" s="3"/>
      <c r="H6" s="3"/>
      <c r="I6" s="3"/>
      <c r="J6" s="3"/>
      <c r="K6" s="3"/>
      <c r="L6" s="26"/>
      <c r="M6" s="3"/>
      <c r="N6" s="26"/>
      <c r="O6" s="9"/>
      <c r="P6" s="9"/>
      <c r="Q6" s="9"/>
      <c r="R6" s="9"/>
      <c r="S6" s="9"/>
      <c r="T6" s="556"/>
      <c r="U6" s="569"/>
      <c r="V6" s="26"/>
      <c r="W6" s="569"/>
      <c r="X6" s="624"/>
      <c r="Y6" s="569"/>
      <c r="Z6" s="624"/>
    </row>
    <row r="7" spans="1:26">
      <c r="A7" s="24">
        <v>4</v>
      </c>
      <c r="B7" s="113"/>
      <c r="C7" s="3" t="s">
        <v>26</v>
      </c>
      <c r="D7" s="3"/>
      <c r="E7" s="7"/>
      <c r="F7" s="3"/>
      <c r="G7" s="3"/>
      <c r="H7" s="3"/>
      <c r="I7" s="3"/>
      <c r="J7" s="3"/>
      <c r="K7" s="3"/>
      <c r="L7" s="26"/>
      <c r="M7" s="3"/>
      <c r="N7" s="26"/>
      <c r="O7" s="9"/>
      <c r="P7" s="9"/>
      <c r="Q7" s="9"/>
      <c r="R7" s="9"/>
      <c r="S7" s="9"/>
      <c r="T7" s="556"/>
      <c r="U7" s="569"/>
      <c r="V7" s="26"/>
      <c r="W7" s="569"/>
      <c r="X7" s="624"/>
      <c r="Y7" s="569"/>
      <c r="Z7" s="624"/>
    </row>
    <row r="8" spans="1:26">
      <c r="A8" s="24">
        <v>5</v>
      </c>
      <c r="B8" s="113" t="s">
        <v>28</v>
      </c>
      <c r="C8" s="16"/>
      <c r="D8" s="16"/>
      <c r="E8" s="17"/>
      <c r="F8" s="11">
        <f>+F9+F19+F20</f>
        <v>1008108</v>
      </c>
      <c r="G8" s="11">
        <f>G9+G19+G20</f>
        <v>2142126</v>
      </c>
      <c r="H8" s="11">
        <f t="shared" ref="H8:L8" si="0">H9+H19+H20</f>
        <v>1235092</v>
      </c>
      <c r="I8" s="11">
        <f t="shared" si="0"/>
        <v>163433</v>
      </c>
      <c r="J8" s="11">
        <f t="shared" si="0"/>
        <v>1413905</v>
      </c>
      <c r="K8" s="11">
        <f t="shared" si="0"/>
        <v>204294</v>
      </c>
      <c r="L8" s="31">
        <f t="shared" si="0"/>
        <v>1618199</v>
      </c>
      <c r="M8" s="8">
        <f>M9+M19+M20</f>
        <v>73487</v>
      </c>
      <c r="N8" s="85">
        <f>N9+N19+N20</f>
        <v>1691686</v>
      </c>
      <c r="O8" s="8">
        <f t="shared" ref="O8:S8" si="1">SUM(O9,O19,O20,O21)</f>
        <v>3224211</v>
      </c>
      <c r="P8" s="121">
        <f t="shared" si="1"/>
        <v>3196434</v>
      </c>
      <c r="Q8" s="121">
        <f t="shared" si="1"/>
        <v>3669231</v>
      </c>
      <c r="R8" s="121">
        <f t="shared" si="1"/>
        <v>4424427</v>
      </c>
      <c r="S8" s="121">
        <f t="shared" si="1"/>
        <v>4854398</v>
      </c>
      <c r="T8" s="122">
        <f>SUM(T9,T19,T20,T21)</f>
        <v>5439863</v>
      </c>
      <c r="U8" s="122">
        <f t="shared" ref="U8:W8" si="2">SUM(U9,U19,U20,U21)</f>
        <v>238942</v>
      </c>
      <c r="V8" s="122">
        <f>SUM(V9,V19,V20,V21)</f>
        <v>5678805</v>
      </c>
      <c r="W8" s="122">
        <f t="shared" si="2"/>
        <v>44382</v>
      </c>
      <c r="X8" s="122">
        <f>SUM(X9,X19,X20,X21)</f>
        <v>5723187</v>
      </c>
      <c r="Y8" s="122">
        <f t="shared" ref="Y8" si="3">SUM(Y9,Y19,Y20,Y21)</f>
        <v>236535</v>
      </c>
      <c r="Z8" s="122">
        <f>SUM(Z9,Z19,Z20,Z21)</f>
        <v>5959722</v>
      </c>
    </row>
    <row r="9" spans="1:26">
      <c r="A9" s="115">
        <v>6</v>
      </c>
      <c r="B9" s="114"/>
      <c r="C9" s="3" t="s">
        <v>29</v>
      </c>
      <c r="D9" s="3"/>
      <c r="E9" s="7"/>
      <c r="F9" s="9">
        <v>725903</v>
      </c>
      <c r="G9" s="9">
        <f>G10+G18</f>
        <v>1651066</v>
      </c>
      <c r="H9" s="9">
        <f t="shared" ref="H9:K9" si="4">H10+H18</f>
        <v>810436</v>
      </c>
      <c r="I9" s="9">
        <f t="shared" si="4"/>
        <v>163433</v>
      </c>
      <c r="J9" s="9">
        <v>989249</v>
      </c>
      <c r="K9" s="9">
        <f t="shared" si="4"/>
        <v>85861</v>
      </c>
      <c r="L9" s="77">
        <f>+L10+L18</f>
        <v>1075110</v>
      </c>
      <c r="M9" s="83">
        <f>+M10+M18</f>
        <v>27487</v>
      </c>
      <c r="N9" s="27">
        <f>L9+M9</f>
        <v>1102597</v>
      </c>
      <c r="O9" s="10">
        <f>O10+O18</f>
        <v>1005811</v>
      </c>
      <c r="P9" s="135">
        <f>SUM(P10,P17:P18)</f>
        <v>1725009</v>
      </c>
      <c r="Q9" s="135">
        <f>SUM(Q10,Q17:Q18)</f>
        <v>1625408</v>
      </c>
      <c r="R9" s="135">
        <f>SUM(R10,R17:R18)</f>
        <v>1717521</v>
      </c>
      <c r="S9" s="135">
        <f>SUM(S10,S17:S18)</f>
        <v>1910294</v>
      </c>
      <c r="T9" s="566">
        <f>SUM(T10,T17:T18)</f>
        <v>2277038</v>
      </c>
      <c r="U9" s="566">
        <f>+U10+U18</f>
        <v>202646</v>
      </c>
      <c r="V9" s="566">
        <f>SUM(T9:U9)</f>
        <v>2479684</v>
      </c>
      <c r="W9" s="566">
        <f>+W10+W18</f>
        <v>44382</v>
      </c>
      <c r="X9" s="566">
        <f>SUM(V9:W9)</f>
        <v>2524066</v>
      </c>
      <c r="Y9" s="566">
        <f>+Y10+Y18</f>
        <v>21135</v>
      </c>
      <c r="Z9" s="566">
        <f>SUM(X9:Y9)</f>
        <v>2545201</v>
      </c>
    </row>
    <row r="10" spans="1:26">
      <c r="A10" s="115">
        <v>7</v>
      </c>
      <c r="B10" s="114"/>
      <c r="C10" s="3"/>
      <c r="D10" s="3" t="s">
        <v>36</v>
      </c>
      <c r="E10" s="7"/>
      <c r="F10" s="9">
        <v>699843</v>
      </c>
      <c r="G10" s="9">
        <v>798289</v>
      </c>
      <c r="H10" s="9">
        <f>H11+H12+H13+H14+H15+H16</f>
        <v>763483</v>
      </c>
      <c r="I10" s="9">
        <f t="shared" ref="I10:M10" si="5">I11+I12+I13+I14+I15+I16</f>
        <v>5288</v>
      </c>
      <c r="J10" s="9">
        <v>784151</v>
      </c>
      <c r="K10" s="9">
        <f t="shared" si="5"/>
        <v>51453</v>
      </c>
      <c r="L10" s="29">
        <f t="shared" si="5"/>
        <v>835604</v>
      </c>
      <c r="M10" s="27">
        <f t="shared" si="5"/>
        <v>8487</v>
      </c>
      <c r="N10" s="27">
        <f t="shared" ref="N10:N20" si="6">L10+M10</f>
        <v>844091</v>
      </c>
      <c r="O10" s="11">
        <f>O11+O12+O13+O14</f>
        <v>790610</v>
      </c>
      <c r="P10" s="136">
        <f>SUM(P11:P16)</f>
        <v>1500181</v>
      </c>
      <c r="Q10" s="136">
        <f>SUM(Q11:Q16)</f>
        <v>1428691</v>
      </c>
      <c r="R10" s="136">
        <f>SUM(R11:R16)</f>
        <v>1669841</v>
      </c>
      <c r="S10" s="136">
        <f>SUM(S11:S16)</f>
        <v>1843834</v>
      </c>
      <c r="T10" s="564">
        <f>SUM(T11:T16)</f>
        <v>2192727</v>
      </c>
      <c r="U10" s="564">
        <f t="shared" ref="U10:W10" si="7">U11+U12+U13+U14+U15+U16</f>
        <v>13661</v>
      </c>
      <c r="V10" s="564">
        <f>SUM(T10:U10)</f>
        <v>2206388</v>
      </c>
      <c r="W10" s="564">
        <f t="shared" si="7"/>
        <v>43149</v>
      </c>
      <c r="X10" s="564">
        <f>SUM(V10:W10)</f>
        <v>2249537</v>
      </c>
      <c r="Y10" s="564">
        <f t="shared" ref="Y10" si="8">Y11+Y12+Y13+Y14+Y15+Y16</f>
        <v>15204</v>
      </c>
      <c r="Z10" s="564">
        <f>SUM(X10:Y10)</f>
        <v>2264741</v>
      </c>
    </row>
    <row r="11" spans="1:26" ht="15.75" customHeight="1">
      <c r="A11" s="24">
        <v>8</v>
      </c>
      <c r="B11" s="114"/>
      <c r="C11" s="3"/>
      <c r="D11" s="3"/>
      <c r="E11" s="18" t="s">
        <v>30</v>
      </c>
      <c r="F11" s="9">
        <v>116695</v>
      </c>
      <c r="G11" s="9">
        <v>117200</v>
      </c>
      <c r="H11" s="9">
        <v>132006</v>
      </c>
      <c r="I11" s="19">
        <v>1208</v>
      </c>
      <c r="J11" s="9">
        <f t="shared" ref="J11:J35" si="9">H11+I11</f>
        <v>133214</v>
      </c>
      <c r="K11" s="9">
        <f>1+6010+686</f>
        <v>6697</v>
      </c>
      <c r="L11" s="77">
        <f>K11+J11</f>
        <v>139911</v>
      </c>
      <c r="M11" s="10">
        <f>453</f>
        <v>453</v>
      </c>
      <c r="N11" s="27">
        <f t="shared" si="6"/>
        <v>140364</v>
      </c>
      <c r="O11" s="9">
        <v>126000</v>
      </c>
      <c r="P11" s="9">
        <v>487954</v>
      </c>
      <c r="Q11" s="9">
        <v>498865</v>
      </c>
      <c r="R11" s="9">
        <v>646586</v>
      </c>
      <c r="S11" s="9">
        <v>545431</v>
      </c>
      <c r="T11" s="565">
        <v>643124</v>
      </c>
      <c r="U11" s="565">
        <v>0</v>
      </c>
      <c r="V11" s="565">
        <f>SUM(T11:U11)</f>
        <v>643124</v>
      </c>
      <c r="W11" s="565">
        <v>38401</v>
      </c>
      <c r="X11" s="565">
        <f>SUM(V11:W11)</f>
        <v>681525</v>
      </c>
      <c r="Y11" s="565">
        <v>958</v>
      </c>
      <c r="Z11" s="565">
        <f>SUM(X11:Y11)</f>
        <v>682483</v>
      </c>
    </row>
    <row r="12" spans="1:26" ht="15" customHeight="1">
      <c r="A12" s="24">
        <v>9</v>
      </c>
      <c r="B12" s="114"/>
      <c r="C12" s="3"/>
      <c r="D12" s="3"/>
      <c r="E12" s="18" t="s">
        <v>31</v>
      </c>
      <c r="F12" s="9">
        <v>278498</v>
      </c>
      <c r="G12" s="9">
        <v>280423</v>
      </c>
      <c r="H12" s="9">
        <v>284098</v>
      </c>
      <c r="I12" s="19">
        <v>0</v>
      </c>
      <c r="J12" s="9">
        <f t="shared" si="9"/>
        <v>284098</v>
      </c>
      <c r="K12" s="9">
        <f>4875</f>
        <v>4875</v>
      </c>
      <c r="L12" s="77">
        <f>K12+J12</f>
        <v>288973</v>
      </c>
      <c r="M12" s="10">
        <v>0</v>
      </c>
      <c r="N12" s="27">
        <f t="shared" si="6"/>
        <v>288973</v>
      </c>
      <c r="O12" s="9">
        <v>304063</v>
      </c>
      <c r="P12" s="9">
        <v>333675</v>
      </c>
      <c r="Q12" s="9">
        <v>394562</v>
      </c>
      <c r="R12" s="9">
        <v>394507</v>
      </c>
      <c r="S12" s="9">
        <v>588141</v>
      </c>
      <c r="T12" s="565">
        <v>744429</v>
      </c>
      <c r="U12" s="565">
        <v>-33723</v>
      </c>
      <c r="V12" s="565">
        <f t="shared" ref="V12:V35" si="10">SUM(T12:U12)</f>
        <v>710706</v>
      </c>
      <c r="W12" s="565">
        <v>4050</v>
      </c>
      <c r="X12" s="565">
        <f t="shared" ref="X12:X20" si="11">SUM(V12:W12)</f>
        <v>714756</v>
      </c>
      <c r="Y12" s="565">
        <v>7245</v>
      </c>
      <c r="Z12" s="565">
        <f t="shared" ref="Z12:Z20" si="12">SUM(X12:Y12)</f>
        <v>722001</v>
      </c>
    </row>
    <row r="13" spans="1:26" ht="26.1" customHeight="1">
      <c r="A13" s="115">
        <v>10</v>
      </c>
      <c r="B13" s="114"/>
      <c r="C13" s="75"/>
      <c r="D13" s="3"/>
      <c r="E13" s="20" t="s">
        <v>32</v>
      </c>
      <c r="F13" s="9">
        <v>259708</v>
      </c>
      <c r="G13" s="9">
        <v>316977</v>
      </c>
      <c r="H13" s="9">
        <v>302156</v>
      </c>
      <c r="I13" s="19">
        <v>1701</v>
      </c>
      <c r="J13" s="9">
        <f t="shared" si="9"/>
        <v>303857</v>
      </c>
      <c r="K13" s="9">
        <f>1150+23013+5033+8610</f>
        <v>37806</v>
      </c>
      <c r="L13" s="77">
        <f>K13+J13+15380</f>
        <v>357043</v>
      </c>
      <c r="M13" s="10">
        <f>5507</f>
        <v>5507</v>
      </c>
      <c r="N13" s="27">
        <f t="shared" si="6"/>
        <v>362550</v>
      </c>
      <c r="O13" s="9">
        <v>331321</v>
      </c>
      <c r="P13" s="9">
        <v>398011</v>
      </c>
      <c r="Q13" s="9">
        <v>466726</v>
      </c>
      <c r="R13" s="9">
        <v>494186</v>
      </c>
      <c r="S13" s="9">
        <v>621795</v>
      </c>
      <c r="T13" s="565">
        <v>715667</v>
      </c>
      <c r="U13" s="565">
        <v>47384</v>
      </c>
      <c r="V13" s="565">
        <f t="shared" si="10"/>
        <v>763051</v>
      </c>
      <c r="W13" s="565">
        <v>5331</v>
      </c>
      <c r="X13" s="565">
        <f t="shared" si="11"/>
        <v>768382</v>
      </c>
      <c r="Y13" s="565">
        <v>7001</v>
      </c>
      <c r="Z13" s="565">
        <f t="shared" si="12"/>
        <v>775383</v>
      </c>
    </row>
    <row r="14" spans="1:26" ht="15" customHeight="1">
      <c r="A14" s="115">
        <v>11</v>
      </c>
      <c r="B14" s="114"/>
      <c r="C14" s="3"/>
      <c r="D14" s="3"/>
      <c r="E14" s="20" t="s">
        <v>33</v>
      </c>
      <c r="F14" s="9">
        <v>44942</v>
      </c>
      <c r="G14" s="9">
        <v>51075</v>
      </c>
      <c r="H14" s="9">
        <v>44866</v>
      </c>
      <c r="I14" s="19">
        <v>2379</v>
      </c>
      <c r="J14" s="9">
        <f t="shared" si="9"/>
        <v>47245</v>
      </c>
      <c r="K14" s="9">
        <f>963+1112</f>
        <v>2075</v>
      </c>
      <c r="L14" s="77">
        <f>J14+K14</f>
        <v>49320</v>
      </c>
      <c r="M14" s="10">
        <f>1803+724</f>
        <v>2527</v>
      </c>
      <c r="N14" s="27">
        <f t="shared" si="6"/>
        <v>51847</v>
      </c>
      <c r="O14" s="9">
        <v>29226</v>
      </c>
      <c r="P14" s="9">
        <v>50541</v>
      </c>
      <c r="Q14" s="9">
        <v>68538</v>
      </c>
      <c r="R14" s="9">
        <v>84562</v>
      </c>
      <c r="S14" s="9">
        <v>84768</v>
      </c>
      <c r="T14" s="565">
        <v>84547</v>
      </c>
      <c r="U14" s="565">
        <v>0</v>
      </c>
      <c r="V14" s="565">
        <f t="shared" si="10"/>
        <v>84547</v>
      </c>
      <c r="W14" s="565">
        <v>0</v>
      </c>
      <c r="X14" s="565">
        <f t="shared" si="11"/>
        <v>84547</v>
      </c>
      <c r="Y14" s="565">
        <v>0</v>
      </c>
      <c r="Z14" s="565">
        <f t="shared" si="12"/>
        <v>84547</v>
      </c>
    </row>
    <row r="15" spans="1:26">
      <c r="A15" s="24">
        <v>12</v>
      </c>
      <c r="B15" s="114"/>
      <c r="C15" s="3"/>
      <c r="D15" s="3"/>
      <c r="E15" s="20" t="s">
        <v>34</v>
      </c>
      <c r="F15" s="19">
        <v>0</v>
      </c>
      <c r="G15" s="9">
        <v>32339</v>
      </c>
      <c r="H15" s="9">
        <v>357</v>
      </c>
      <c r="I15" s="19">
        <v>0</v>
      </c>
      <c r="J15" s="9">
        <f t="shared" si="9"/>
        <v>357</v>
      </c>
      <c r="K15" s="9">
        <v>0</v>
      </c>
      <c r="L15" s="77">
        <v>357</v>
      </c>
      <c r="M15" s="10">
        <v>0</v>
      </c>
      <c r="N15" s="27">
        <f t="shared" si="6"/>
        <v>357</v>
      </c>
      <c r="O15" s="9">
        <v>0</v>
      </c>
      <c r="P15" s="9">
        <v>230000</v>
      </c>
      <c r="Q15" s="9">
        <v>0</v>
      </c>
      <c r="R15" s="9">
        <v>50000</v>
      </c>
      <c r="S15" s="9">
        <v>0</v>
      </c>
      <c r="T15" s="565">
        <v>4633</v>
      </c>
      <c r="U15" s="565">
        <v>0</v>
      </c>
      <c r="V15" s="565">
        <f t="shared" si="10"/>
        <v>4633</v>
      </c>
      <c r="W15" s="565">
        <v>-4633</v>
      </c>
      <c r="X15" s="565">
        <f t="shared" si="11"/>
        <v>0</v>
      </c>
      <c r="Y15" s="565">
        <v>0</v>
      </c>
      <c r="Z15" s="565">
        <f t="shared" si="12"/>
        <v>0</v>
      </c>
    </row>
    <row r="16" spans="1:26">
      <c r="A16" s="24">
        <v>13</v>
      </c>
      <c r="B16" s="114"/>
      <c r="C16" s="3"/>
      <c r="D16" s="3"/>
      <c r="E16" s="21" t="s">
        <v>35</v>
      </c>
      <c r="F16" s="9">
        <v>0</v>
      </c>
      <c r="G16" s="9">
        <v>275</v>
      </c>
      <c r="H16" s="9">
        <v>0</v>
      </c>
      <c r="I16" s="9">
        <v>0</v>
      </c>
      <c r="J16" s="9">
        <f>K15</f>
        <v>0</v>
      </c>
      <c r="K16" s="3">
        <v>0</v>
      </c>
      <c r="L16" s="77">
        <v>0</v>
      </c>
      <c r="M16" s="10">
        <v>0</v>
      </c>
      <c r="N16" s="27">
        <f t="shared" si="6"/>
        <v>0</v>
      </c>
      <c r="O16" s="9">
        <v>0</v>
      </c>
      <c r="P16" s="9">
        <v>0</v>
      </c>
      <c r="Q16" s="9">
        <v>0</v>
      </c>
      <c r="R16" s="9">
        <v>0</v>
      </c>
      <c r="S16" s="9">
        <v>3699</v>
      </c>
      <c r="T16" s="565">
        <v>327</v>
      </c>
      <c r="U16" s="565">
        <v>0</v>
      </c>
      <c r="V16" s="565">
        <f t="shared" si="10"/>
        <v>327</v>
      </c>
      <c r="W16" s="565">
        <v>0</v>
      </c>
      <c r="X16" s="565">
        <f t="shared" si="11"/>
        <v>327</v>
      </c>
      <c r="Y16" s="565">
        <v>0</v>
      </c>
      <c r="Z16" s="565">
        <f t="shared" si="12"/>
        <v>327</v>
      </c>
    </row>
    <row r="17" spans="1:26">
      <c r="A17" s="115">
        <v>14</v>
      </c>
      <c r="B17" s="114"/>
      <c r="C17" s="3"/>
      <c r="D17" s="3" t="s">
        <v>47</v>
      </c>
      <c r="E17" s="21"/>
      <c r="F17" s="9">
        <v>0</v>
      </c>
      <c r="G17" s="9">
        <v>0</v>
      </c>
      <c r="H17" s="9">
        <v>0</v>
      </c>
      <c r="I17" s="9">
        <v>0</v>
      </c>
      <c r="J17" s="9">
        <f t="shared" si="9"/>
        <v>0</v>
      </c>
      <c r="K17" s="3">
        <f t="shared" ref="K17" si="13">+L17-J17</f>
        <v>0</v>
      </c>
      <c r="L17" s="77">
        <v>0</v>
      </c>
      <c r="M17" s="10">
        <v>0</v>
      </c>
      <c r="N17" s="27">
        <f t="shared" si="6"/>
        <v>0</v>
      </c>
      <c r="O17" s="9">
        <v>0</v>
      </c>
      <c r="P17" s="9">
        <v>0</v>
      </c>
      <c r="Q17" s="9">
        <v>0</v>
      </c>
      <c r="R17" s="9">
        <v>0</v>
      </c>
      <c r="S17" s="9">
        <v>16000</v>
      </c>
      <c r="T17" s="565">
        <v>16000</v>
      </c>
      <c r="U17" s="565">
        <v>0</v>
      </c>
      <c r="V17" s="565">
        <f t="shared" si="10"/>
        <v>16000</v>
      </c>
      <c r="W17" s="565">
        <v>0</v>
      </c>
      <c r="X17" s="565">
        <f t="shared" si="11"/>
        <v>16000</v>
      </c>
      <c r="Y17" s="565">
        <v>0</v>
      </c>
      <c r="Z17" s="565">
        <f t="shared" si="12"/>
        <v>16000</v>
      </c>
    </row>
    <row r="18" spans="1:26">
      <c r="A18" s="115">
        <v>15</v>
      </c>
      <c r="B18" s="114"/>
      <c r="C18" s="3"/>
      <c r="D18" s="3" t="s">
        <v>37</v>
      </c>
      <c r="E18" s="21"/>
      <c r="F18" s="9">
        <v>26060</v>
      </c>
      <c r="G18" s="9">
        <v>852777</v>
      </c>
      <c r="H18" s="9">
        <f>32105+14848</f>
        <v>46953</v>
      </c>
      <c r="I18" s="9">
        <v>158145</v>
      </c>
      <c r="J18" s="9">
        <f t="shared" si="9"/>
        <v>205098</v>
      </c>
      <c r="K18" s="9">
        <f>2724+720+1376+717+6677+657+2750+2812+11441+4534</f>
        <v>34408</v>
      </c>
      <c r="L18" s="77">
        <f>K18+J18</f>
        <v>239506</v>
      </c>
      <c r="M18" s="10">
        <f>938+240+697+2160+1215+284+14178-712</f>
        <v>19000</v>
      </c>
      <c r="N18" s="27">
        <f t="shared" si="6"/>
        <v>258506</v>
      </c>
      <c r="O18" s="9">
        <v>215201</v>
      </c>
      <c r="P18" s="9">
        <v>224828</v>
      </c>
      <c r="Q18" s="9">
        <v>196717</v>
      </c>
      <c r="R18" s="9">
        <v>47680</v>
      </c>
      <c r="S18" s="9">
        <v>50460</v>
      </c>
      <c r="T18" s="565">
        <v>68311</v>
      </c>
      <c r="U18" s="565">
        <v>188985</v>
      </c>
      <c r="V18" s="565">
        <f t="shared" si="10"/>
        <v>257296</v>
      </c>
      <c r="W18" s="565">
        <v>1233</v>
      </c>
      <c r="X18" s="565">
        <f t="shared" si="11"/>
        <v>258529</v>
      </c>
      <c r="Y18" s="565">
        <v>5931</v>
      </c>
      <c r="Z18" s="565">
        <f t="shared" si="12"/>
        <v>264460</v>
      </c>
    </row>
    <row r="19" spans="1:26">
      <c r="A19" s="24">
        <v>16</v>
      </c>
      <c r="B19" s="114"/>
      <c r="C19" s="3" t="s">
        <v>38</v>
      </c>
      <c r="D19" s="3"/>
      <c r="E19" s="21"/>
      <c r="F19" s="9">
        <v>282205</v>
      </c>
      <c r="G19" s="9">
        <v>371105</v>
      </c>
      <c r="H19" s="10">
        <v>424656</v>
      </c>
      <c r="I19" s="9">
        <v>0</v>
      </c>
      <c r="J19" s="9">
        <f t="shared" si="9"/>
        <v>424656</v>
      </c>
      <c r="K19" s="42">
        <v>118433</v>
      </c>
      <c r="L19" s="77">
        <f>K19+J19</f>
        <v>543089</v>
      </c>
      <c r="M19" s="10">
        <f>46000</f>
        <v>46000</v>
      </c>
      <c r="N19" s="27">
        <f t="shared" si="6"/>
        <v>589089</v>
      </c>
      <c r="O19" s="9">
        <v>468200</v>
      </c>
      <c r="P19" s="9">
        <v>414425</v>
      </c>
      <c r="Q19" s="9">
        <v>476823</v>
      </c>
      <c r="R19" s="9">
        <v>732906</v>
      </c>
      <c r="S19" s="9">
        <v>628104</v>
      </c>
      <c r="T19" s="565">
        <v>618825</v>
      </c>
      <c r="U19" s="565">
        <v>36296</v>
      </c>
      <c r="V19" s="565">
        <f t="shared" si="10"/>
        <v>655121</v>
      </c>
      <c r="W19" s="565">
        <v>0</v>
      </c>
      <c r="X19" s="565">
        <f t="shared" si="11"/>
        <v>655121</v>
      </c>
      <c r="Y19" s="565">
        <v>0</v>
      </c>
      <c r="Z19" s="565">
        <f t="shared" si="12"/>
        <v>655121</v>
      </c>
    </row>
    <row r="20" spans="1:26">
      <c r="A20" s="24">
        <v>17</v>
      </c>
      <c r="B20" s="114"/>
      <c r="C20" s="3" t="s">
        <v>39</v>
      </c>
      <c r="D20" s="3"/>
      <c r="E20" s="21"/>
      <c r="F20" s="9">
        <v>0</v>
      </c>
      <c r="G20" s="9">
        <v>119955</v>
      </c>
      <c r="H20" s="10">
        <v>0</v>
      </c>
      <c r="I20" s="9">
        <v>0</v>
      </c>
      <c r="J20" s="9">
        <f t="shared" si="9"/>
        <v>0</v>
      </c>
      <c r="K20" s="3">
        <f>+L20-J20</f>
        <v>0</v>
      </c>
      <c r="L20" s="29">
        <v>0</v>
      </c>
      <c r="M20" s="8">
        <v>0</v>
      </c>
      <c r="N20" s="27">
        <f t="shared" si="6"/>
        <v>0</v>
      </c>
      <c r="O20" s="9">
        <v>9200</v>
      </c>
      <c r="P20" s="9">
        <v>0</v>
      </c>
      <c r="Q20" s="9">
        <v>0</v>
      </c>
      <c r="R20" s="9">
        <v>0</v>
      </c>
      <c r="S20" s="9">
        <v>0</v>
      </c>
      <c r="T20" s="565">
        <v>100000</v>
      </c>
      <c r="U20" s="565">
        <v>0</v>
      </c>
      <c r="V20" s="565">
        <f t="shared" si="10"/>
        <v>100000</v>
      </c>
      <c r="W20" s="565">
        <v>0</v>
      </c>
      <c r="X20" s="565">
        <f t="shared" si="11"/>
        <v>100000</v>
      </c>
      <c r="Y20" s="565">
        <v>6900</v>
      </c>
      <c r="Z20" s="565">
        <f t="shared" si="12"/>
        <v>106900</v>
      </c>
    </row>
    <row r="21" spans="1:26">
      <c r="A21" s="115">
        <v>18</v>
      </c>
      <c r="B21" s="114"/>
      <c r="C21" s="3" t="s">
        <v>452</v>
      </c>
      <c r="D21" s="3"/>
      <c r="E21" s="21"/>
      <c r="F21" s="9"/>
      <c r="G21" s="9"/>
      <c r="H21" s="10"/>
      <c r="I21" s="9"/>
      <c r="J21" s="9"/>
      <c r="K21" s="3"/>
      <c r="L21" s="29"/>
      <c r="M21" s="85"/>
      <c r="N21" s="27"/>
      <c r="O21" s="9">
        <f t="shared" ref="O21:S21" si="14">SUM(O22:O25)</f>
        <v>1741000</v>
      </c>
      <c r="P21" s="135">
        <f t="shared" si="14"/>
        <v>1057000</v>
      </c>
      <c r="Q21" s="135">
        <f t="shared" si="14"/>
        <v>1567000</v>
      </c>
      <c r="R21" s="135">
        <f t="shared" si="14"/>
        <v>1974000</v>
      </c>
      <c r="S21" s="135">
        <f t="shared" si="14"/>
        <v>2316000</v>
      </c>
      <c r="T21" s="566">
        <f t="shared" ref="T21:Z21" si="15">SUM(T22:T25)</f>
        <v>2444000</v>
      </c>
      <c r="U21" s="566">
        <f t="shared" si="15"/>
        <v>0</v>
      </c>
      <c r="V21" s="566">
        <f t="shared" si="15"/>
        <v>2444000</v>
      </c>
      <c r="W21" s="566">
        <f t="shared" si="15"/>
        <v>0</v>
      </c>
      <c r="X21" s="566">
        <f t="shared" si="15"/>
        <v>2444000</v>
      </c>
      <c r="Y21" s="566">
        <f t="shared" si="15"/>
        <v>208500</v>
      </c>
      <c r="Z21" s="566">
        <f t="shared" si="15"/>
        <v>2652500</v>
      </c>
    </row>
    <row r="22" spans="1:26">
      <c r="A22" s="115">
        <v>19</v>
      </c>
      <c r="B22" s="114"/>
      <c r="C22" s="3"/>
      <c r="D22" s="3" t="s">
        <v>454</v>
      </c>
      <c r="E22" s="21"/>
      <c r="F22" s="9"/>
      <c r="G22" s="9"/>
      <c r="H22" s="10"/>
      <c r="I22" s="9"/>
      <c r="J22" s="9"/>
      <c r="K22" s="3"/>
      <c r="L22" s="29"/>
      <c r="M22" s="85"/>
      <c r="N22" s="27"/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565">
        <v>0</v>
      </c>
      <c r="U22" s="565">
        <v>0</v>
      </c>
      <c r="V22" s="565">
        <f t="shared" si="10"/>
        <v>0</v>
      </c>
      <c r="W22" s="565">
        <v>0</v>
      </c>
      <c r="X22" s="565">
        <f t="shared" ref="X22:X25" si="16">SUM(V22:W22)</f>
        <v>0</v>
      </c>
      <c r="Y22" s="565">
        <v>0</v>
      </c>
      <c r="Z22" s="565">
        <f t="shared" ref="Z22:Z25" si="17">SUM(X22:Y22)</f>
        <v>0</v>
      </c>
    </row>
    <row r="23" spans="1:26">
      <c r="A23" s="24">
        <v>20</v>
      </c>
      <c r="B23" s="114"/>
      <c r="C23" s="3"/>
      <c r="D23" s="3" t="s">
        <v>453</v>
      </c>
      <c r="E23" s="21"/>
      <c r="F23" s="9"/>
      <c r="G23" s="9"/>
      <c r="H23" s="10"/>
      <c r="I23" s="9"/>
      <c r="J23" s="9"/>
      <c r="K23" s="3"/>
      <c r="L23" s="29"/>
      <c r="M23" s="85"/>
      <c r="N23" s="27"/>
      <c r="O23" s="9">
        <v>516000</v>
      </c>
      <c r="P23" s="9">
        <v>280000</v>
      </c>
      <c r="Q23" s="9">
        <v>360000</v>
      </c>
      <c r="R23" s="9">
        <v>395000</v>
      </c>
      <c r="S23" s="9">
        <v>400000</v>
      </c>
      <c r="T23" s="565">
        <v>405000</v>
      </c>
      <c r="U23" s="565">
        <v>0</v>
      </c>
      <c r="V23" s="565">
        <f t="shared" si="10"/>
        <v>405000</v>
      </c>
      <c r="W23" s="565">
        <v>0</v>
      </c>
      <c r="X23" s="565">
        <f t="shared" si="16"/>
        <v>405000</v>
      </c>
      <c r="Y23" s="565">
        <v>0</v>
      </c>
      <c r="Z23" s="565">
        <f t="shared" si="17"/>
        <v>405000</v>
      </c>
    </row>
    <row r="24" spans="1:26">
      <c r="A24" s="24">
        <v>21</v>
      </c>
      <c r="B24" s="114"/>
      <c r="C24" s="3"/>
      <c r="D24" s="3" t="s">
        <v>455</v>
      </c>
      <c r="E24" s="21"/>
      <c r="F24" s="9"/>
      <c r="G24" s="9"/>
      <c r="H24" s="10"/>
      <c r="I24" s="9"/>
      <c r="J24" s="9"/>
      <c r="K24" s="3"/>
      <c r="L24" s="29"/>
      <c r="M24" s="85"/>
      <c r="N24" s="27"/>
      <c r="O24" s="9">
        <v>1223000</v>
      </c>
      <c r="P24" s="9">
        <v>775000</v>
      </c>
      <c r="Q24" s="9">
        <v>1205000</v>
      </c>
      <c r="R24" s="9">
        <v>1575000</v>
      </c>
      <c r="S24" s="9">
        <v>1910000</v>
      </c>
      <c r="T24" s="565">
        <v>2035000</v>
      </c>
      <c r="U24" s="565">
        <v>0</v>
      </c>
      <c r="V24" s="565">
        <f t="shared" si="10"/>
        <v>2035000</v>
      </c>
      <c r="W24" s="565">
        <v>0</v>
      </c>
      <c r="X24" s="565">
        <f t="shared" si="16"/>
        <v>2035000</v>
      </c>
      <c r="Y24" s="565">
        <v>208500</v>
      </c>
      <c r="Z24" s="565">
        <f t="shared" si="17"/>
        <v>2243500</v>
      </c>
    </row>
    <row r="25" spans="1:26">
      <c r="A25" s="115">
        <v>22</v>
      </c>
      <c r="B25" s="114"/>
      <c r="C25" s="3"/>
      <c r="D25" s="3" t="s">
        <v>456</v>
      </c>
      <c r="E25" s="21"/>
      <c r="F25" s="9"/>
      <c r="G25" s="9"/>
      <c r="H25" s="10"/>
      <c r="I25" s="9"/>
      <c r="J25" s="9"/>
      <c r="K25" s="3"/>
      <c r="L25" s="29"/>
      <c r="M25" s="85"/>
      <c r="N25" s="27"/>
      <c r="O25" s="9">
        <v>2000</v>
      </c>
      <c r="P25" s="9">
        <v>2000</v>
      </c>
      <c r="Q25" s="9">
        <v>2000</v>
      </c>
      <c r="R25" s="9">
        <v>4000</v>
      </c>
      <c r="S25" s="9">
        <v>6000</v>
      </c>
      <c r="T25" s="565">
        <v>4000</v>
      </c>
      <c r="U25" s="565">
        <v>0</v>
      </c>
      <c r="V25" s="565">
        <f t="shared" si="10"/>
        <v>4000</v>
      </c>
      <c r="W25" s="565">
        <v>0</v>
      </c>
      <c r="X25" s="565">
        <f t="shared" si="16"/>
        <v>4000</v>
      </c>
      <c r="Y25" s="565">
        <v>0</v>
      </c>
      <c r="Z25" s="565">
        <f t="shared" si="17"/>
        <v>4000</v>
      </c>
    </row>
    <row r="26" spans="1:26">
      <c r="A26" s="115">
        <v>23</v>
      </c>
      <c r="B26" s="113" t="s">
        <v>40</v>
      </c>
      <c r="C26" s="16"/>
      <c r="D26" s="16"/>
      <c r="E26" s="17"/>
      <c r="F26" s="11">
        <f>SUM(F27:F31)</f>
        <v>5000</v>
      </c>
      <c r="G26" s="11">
        <f>SUM(G27:G31)</f>
        <v>2063047</v>
      </c>
      <c r="H26" s="8" t="e">
        <f>#REF!+#REF!+#REF!+H30+H31+H28+H29+#REF!+H27</f>
        <v>#REF!</v>
      </c>
      <c r="I26" s="8" t="e">
        <f>#REF!+#REF!+#REF!+I30+I31+I28+I29+#REF!+I27</f>
        <v>#REF!</v>
      </c>
      <c r="J26" s="8" t="e">
        <f>#REF!+#REF!+#REF!+J30+J31+J28+J29+#REF!+J27</f>
        <v>#REF!</v>
      </c>
      <c r="K26" s="8" t="e">
        <f>#REF!+#REF!+#REF!+K30+K31+K28+K29+#REF!+K27</f>
        <v>#REF!</v>
      </c>
      <c r="L26" s="78">
        <f t="shared" ref="L26:S26" si="18">SUM(L27:L31)</f>
        <v>109000</v>
      </c>
      <c r="M26" s="84">
        <f t="shared" si="18"/>
        <v>150000</v>
      </c>
      <c r="N26" s="84">
        <f t="shared" si="18"/>
        <v>259000</v>
      </c>
      <c r="O26" s="88">
        <f t="shared" si="18"/>
        <v>255259</v>
      </c>
      <c r="P26" s="121">
        <f t="shared" si="18"/>
        <v>109165</v>
      </c>
      <c r="Q26" s="121">
        <f t="shared" si="18"/>
        <v>8057163</v>
      </c>
      <c r="R26" s="121">
        <f t="shared" si="18"/>
        <v>3509130</v>
      </c>
      <c r="S26" s="121">
        <f t="shared" si="18"/>
        <v>2760706</v>
      </c>
      <c r="T26" s="122">
        <f>SUM(T27:T31)</f>
        <v>1052739</v>
      </c>
      <c r="U26" s="122">
        <f t="shared" ref="U26:Z26" si="19">SUM(U27:U31)</f>
        <v>273793</v>
      </c>
      <c r="V26" s="122">
        <f t="shared" si="19"/>
        <v>1326532</v>
      </c>
      <c r="W26" s="122">
        <f t="shared" si="19"/>
        <v>0</v>
      </c>
      <c r="X26" s="122">
        <f t="shared" si="19"/>
        <v>1326532</v>
      </c>
      <c r="Y26" s="122">
        <f t="shared" si="19"/>
        <v>163460</v>
      </c>
      <c r="Z26" s="122">
        <f t="shared" si="19"/>
        <v>1489992</v>
      </c>
    </row>
    <row r="27" spans="1:26">
      <c r="A27" s="24">
        <v>24</v>
      </c>
      <c r="B27" s="114"/>
      <c r="C27" s="3" t="s">
        <v>41</v>
      </c>
      <c r="D27" s="3"/>
      <c r="E27" s="7"/>
      <c r="F27" s="9">
        <v>0</v>
      </c>
      <c r="G27" s="9">
        <v>448150</v>
      </c>
      <c r="H27" s="10">
        <v>0</v>
      </c>
      <c r="I27" s="9">
        <v>0</v>
      </c>
      <c r="J27" s="9">
        <f t="shared" si="9"/>
        <v>0</v>
      </c>
      <c r="K27" s="9">
        <f t="shared" ref="K27:K31" si="20">+L27-J27</f>
        <v>0</v>
      </c>
      <c r="L27" s="77">
        <v>0</v>
      </c>
      <c r="M27" s="10">
        <v>0</v>
      </c>
      <c r="N27" s="27">
        <v>0</v>
      </c>
      <c r="O27" s="9">
        <v>0</v>
      </c>
      <c r="P27" s="9">
        <v>0</v>
      </c>
      <c r="Q27" s="9"/>
      <c r="R27" s="9">
        <v>0</v>
      </c>
      <c r="S27" s="9">
        <v>0</v>
      </c>
      <c r="T27" s="565">
        <v>0</v>
      </c>
      <c r="U27" s="565">
        <v>0</v>
      </c>
      <c r="V27" s="565">
        <f t="shared" si="10"/>
        <v>0</v>
      </c>
      <c r="W27" s="565">
        <v>0</v>
      </c>
      <c r="X27" s="565">
        <f t="shared" ref="X27:X31" si="21">SUM(V27:W27)</f>
        <v>0</v>
      </c>
      <c r="Y27" s="565">
        <v>0</v>
      </c>
      <c r="Z27" s="565">
        <f t="shared" ref="Z27:Z31" si="22">SUM(X27:Y27)</f>
        <v>0</v>
      </c>
    </row>
    <row r="28" spans="1:26">
      <c r="A28" s="24">
        <v>25</v>
      </c>
      <c r="B28" s="114"/>
      <c r="C28" s="3" t="s">
        <v>94</v>
      </c>
      <c r="D28" s="3"/>
      <c r="E28" s="7"/>
      <c r="F28" s="9">
        <v>0</v>
      </c>
      <c r="G28" s="9">
        <v>0</v>
      </c>
      <c r="H28" s="10">
        <v>0</v>
      </c>
      <c r="I28" s="9">
        <v>0</v>
      </c>
      <c r="J28" s="9">
        <f t="shared" si="9"/>
        <v>0</v>
      </c>
      <c r="K28" s="9">
        <f t="shared" si="20"/>
        <v>0</v>
      </c>
      <c r="L28" s="77">
        <v>0</v>
      </c>
      <c r="M28" s="10">
        <v>0</v>
      </c>
      <c r="N28" s="27">
        <v>0</v>
      </c>
      <c r="O28" s="9">
        <v>0</v>
      </c>
      <c r="P28" s="9">
        <v>0</v>
      </c>
      <c r="Q28" s="9"/>
      <c r="R28" s="9">
        <v>0</v>
      </c>
      <c r="S28" s="9">
        <v>0</v>
      </c>
      <c r="T28" s="565">
        <v>0</v>
      </c>
      <c r="U28" s="565">
        <v>0</v>
      </c>
      <c r="V28" s="565">
        <f t="shared" si="10"/>
        <v>0</v>
      </c>
      <c r="W28" s="565">
        <v>0</v>
      </c>
      <c r="X28" s="565">
        <f t="shared" si="21"/>
        <v>0</v>
      </c>
      <c r="Y28" s="565">
        <v>0</v>
      </c>
      <c r="Z28" s="565">
        <f t="shared" si="22"/>
        <v>0</v>
      </c>
    </row>
    <row r="29" spans="1:26">
      <c r="A29" s="115">
        <v>26</v>
      </c>
      <c r="B29" s="114"/>
      <c r="C29" s="3" t="s">
        <v>42</v>
      </c>
      <c r="D29" s="3"/>
      <c r="E29" s="7"/>
      <c r="F29" s="9">
        <v>0</v>
      </c>
      <c r="G29" s="9">
        <v>1530324</v>
      </c>
      <c r="H29" s="10">
        <v>0</v>
      </c>
      <c r="I29" s="9">
        <v>4000</v>
      </c>
      <c r="J29" s="9">
        <f t="shared" si="9"/>
        <v>4000</v>
      </c>
      <c r="K29" s="9">
        <f t="shared" si="20"/>
        <v>0</v>
      </c>
      <c r="L29" s="77">
        <v>4000</v>
      </c>
      <c r="M29" s="10">
        <v>0</v>
      </c>
      <c r="N29" s="27">
        <v>4000</v>
      </c>
      <c r="O29" s="9">
        <v>59999</v>
      </c>
      <c r="P29" s="9">
        <v>35005</v>
      </c>
      <c r="Q29" s="9">
        <v>7864736</v>
      </c>
      <c r="R29" s="9">
        <v>3117203</v>
      </c>
      <c r="S29" s="9">
        <v>2530054</v>
      </c>
      <c r="T29" s="565">
        <v>704629</v>
      </c>
      <c r="U29" s="565">
        <v>273793</v>
      </c>
      <c r="V29" s="565">
        <f t="shared" si="10"/>
        <v>978422</v>
      </c>
      <c r="W29" s="565">
        <v>0</v>
      </c>
      <c r="X29" s="565">
        <f t="shared" si="21"/>
        <v>978422</v>
      </c>
      <c r="Y29" s="565">
        <v>163460</v>
      </c>
      <c r="Z29" s="565">
        <f t="shared" si="22"/>
        <v>1141882</v>
      </c>
    </row>
    <row r="30" spans="1:26">
      <c r="A30" s="115">
        <v>27</v>
      </c>
      <c r="B30" s="114"/>
      <c r="C30" s="3" t="s">
        <v>44</v>
      </c>
      <c r="D30" s="3"/>
      <c r="E30" s="7"/>
      <c r="F30" s="9">
        <v>5000</v>
      </c>
      <c r="G30" s="9">
        <v>48320</v>
      </c>
      <c r="H30" s="10">
        <v>105000</v>
      </c>
      <c r="I30" s="9">
        <v>0</v>
      </c>
      <c r="J30" s="9">
        <f t="shared" si="9"/>
        <v>105000</v>
      </c>
      <c r="K30" s="9">
        <f t="shared" si="20"/>
        <v>0</v>
      </c>
      <c r="L30" s="77">
        <v>105000</v>
      </c>
      <c r="M30" s="10">
        <v>0</v>
      </c>
      <c r="N30" s="27">
        <v>105000</v>
      </c>
      <c r="O30" s="9">
        <v>195260</v>
      </c>
      <c r="P30" s="9">
        <v>74000</v>
      </c>
      <c r="Q30" s="9">
        <v>178300</v>
      </c>
      <c r="R30" s="9">
        <v>366800</v>
      </c>
      <c r="S30" s="9">
        <v>157407</v>
      </c>
      <c r="T30" s="565">
        <v>272390</v>
      </c>
      <c r="U30" s="565">
        <v>0</v>
      </c>
      <c r="V30" s="565">
        <f t="shared" si="10"/>
        <v>272390</v>
      </c>
      <c r="W30" s="565">
        <v>0</v>
      </c>
      <c r="X30" s="565">
        <f t="shared" si="21"/>
        <v>272390</v>
      </c>
      <c r="Y30" s="565">
        <v>0</v>
      </c>
      <c r="Z30" s="565">
        <f t="shared" si="22"/>
        <v>272390</v>
      </c>
    </row>
    <row r="31" spans="1:26">
      <c r="A31" s="24">
        <v>28</v>
      </c>
      <c r="B31" s="114"/>
      <c r="C31" s="3" t="s">
        <v>43</v>
      </c>
      <c r="D31" s="3"/>
      <c r="E31" s="7"/>
      <c r="F31" s="9">
        <v>0</v>
      </c>
      <c r="G31" s="9">
        <v>36253</v>
      </c>
      <c r="H31" s="10">
        <v>0</v>
      </c>
      <c r="I31" s="9">
        <v>0</v>
      </c>
      <c r="J31" s="9">
        <f t="shared" si="9"/>
        <v>0</v>
      </c>
      <c r="K31" s="9">
        <f t="shared" si="20"/>
        <v>0</v>
      </c>
      <c r="L31" s="77">
        <v>0</v>
      </c>
      <c r="M31" s="10">
        <f>150000</f>
        <v>150000</v>
      </c>
      <c r="N31" s="27">
        <v>150000</v>
      </c>
      <c r="O31" s="9">
        <v>0</v>
      </c>
      <c r="P31" s="9">
        <v>160</v>
      </c>
      <c r="Q31" s="9">
        <v>14127</v>
      </c>
      <c r="R31" s="9">
        <v>25127</v>
      </c>
      <c r="S31" s="9">
        <v>73245</v>
      </c>
      <c r="T31" s="565">
        <v>75720</v>
      </c>
      <c r="U31" s="565">
        <v>0</v>
      </c>
      <c r="V31" s="565">
        <f t="shared" si="10"/>
        <v>75720</v>
      </c>
      <c r="W31" s="565">
        <v>0</v>
      </c>
      <c r="X31" s="565">
        <f t="shared" si="21"/>
        <v>75720</v>
      </c>
      <c r="Y31" s="565">
        <v>0</v>
      </c>
      <c r="Z31" s="565">
        <f t="shared" si="22"/>
        <v>75720</v>
      </c>
    </row>
    <row r="32" spans="1:26">
      <c r="A32" s="24">
        <v>29</v>
      </c>
      <c r="B32" s="113" t="s">
        <v>45</v>
      </c>
      <c r="C32" s="16"/>
      <c r="D32" s="16"/>
      <c r="E32" s="17"/>
      <c r="F32" s="11">
        <f>F33+F35</f>
        <v>5148041</v>
      </c>
      <c r="G32" s="11">
        <f>G33+G35</f>
        <v>6098847</v>
      </c>
      <c r="H32" s="8">
        <f>H33+H35</f>
        <v>4157416</v>
      </c>
      <c r="I32" s="8">
        <f>I33+I35</f>
        <v>540898</v>
      </c>
      <c r="J32" s="11">
        <f t="shared" si="9"/>
        <v>4698314</v>
      </c>
      <c r="K32" s="11">
        <f>+L32-J32</f>
        <v>0</v>
      </c>
      <c r="L32" s="78">
        <f>SUM(L33:L35)</f>
        <v>4698314</v>
      </c>
      <c r="M32" s="84">
        <f>SUM(M33:M35)</f>
        <v>0</v>
      </c>
      <c r="N32" s="84">
        <f t="shared" ref="N32:Z32" si="23">SUM(N33:N35)</f>
        <v>4698314</v>
      </c>
      <c r="O32" s="88">
        <f t="shared" si="23"/>
        <v>1882279</v>
      </c>
      <c r="P32" s="121">
        <f t="shared" si="23"/>
        <v>1834606</v>
      </c>
      <c r="Q32" s="121">
        <f t="shared" si="23"/>
        <v>4605090</v>
      </c>
      <c r="R32" s="121">
        <f t="shared" si="23"/>
        <v>4014000</v>
      </c>
      <c r="S32" s="121">
        <f t="shared" si="23"/>
        <v>1945960</v>
      </c>
      <c r="T32" s="122">
        <f t="shared" si="23"/>
        <v>794500</v>
      </c>
      <c r="U32" s="122">
        <f t="shared" si="23"/>
        <v>4863</v>
      </c>
      <c r="V32" s="122">
        <f t="shared" si="23"/>
        <v>799363</v>
      </c>
      <c r="W32" s="122">
        <f t="shared" si="23"/>
        <v>0</v>
      </c>
      <c r="X32" s="122">
        <f t="shared" si="23"/>
        <v>799363</v>
      </c>
      <c r="Y32" s="122">
        <f t="shared" si="23"/>
        <v>0</v>
      </c>
      <c r="Z32" s="122">
        <f t="shared" si="23"/>
        <v>799363</v>
      </c>
    </row>
    <row r="33" spans="1:26">
      <c r="A33" s="115">
        <v>30</v>
      </c>
      <c r="B33" s="114"/>
      <c r="C33" s="3" t="s">
        <v>46</v>
      </c>
      <c r="D33" s="3"/>
      <c r="E33" s="7"/>
      <c r="F33" s="9">
        <v>3648041</v>
      </c>
      <c r="G33" s="9">
        <v>4203234</v>
      </c>
      <c r="H33" s="9">
        <v>3761803</v>
      </c>
      <c r="I33" s="9">
        <v>540898</v>
      </c>
      <c r="J33" s="9">
        <f t="shared" si="9"/>
        <v>4302701</v>
      </c>
      <c r="K33" s="9">
        <v>0</v>
      </c>
      <c r="L33" s="77">
        <v>4302701</v>
      </c>
      <c r="M33" s="10">
        <v>0</v>
      </c>
      <c r="N33" s="27">
        <v>4302701</v>
      </c>
      <c r="O33" s="9">
        <v>1882279</v>
      </c>
      <c r="P33" s="9">
        <v>1834606</v>
      </c>
      <c r="Q33" s="9">
        <v>4605090</v>
      </c>
      <c r="R33" s="9">
        <v>4014000</v>
      </c>
      <c r="S33" s="14">
        <v>1945960</v>
      </c>
      <c r="T33" s="565">
        <v>794500</v>
      </c>
      <c r="U33" s="565">
        <v>1239</v>
      </c>
      <c r="V33" s="565">
        <f t="shared" si="10"/>
        <v>795739</v>
      </c>
      <c r="W33" s="565">
        <v>0</v>
      </c>
      <c r="X33" s="565">
        <f t="shared" ref="X33:X35" si="24">SUM(V33:W33)</f>
        <v>795739</v>
      </c>
      <c r="Y33" s="565">
        <v>0</v>
      </c>
      <c r="Z33" s="565">
        <f t="shared" ref="Z33:Z35" si="25">SUM(X33:Y33)</f>
        <v>795739</v>
      </c>
    </row>
    <row r="34" spans="1:26">
      <c r="A34" s="115">
        <v>31</v>
      </c>
      <c r="B34" s="114"/>
      <c r="C34" s="3" t="s">
        <v>583</v>
      </c>
      <c r="D34" s="3"/>
      <c r="E34" s="7"/>
      <c r="F34" s="9"/>
      <c r="G34" s="9"/>
      <c r="H34" s="9"/>
      <c r="I34" s="9"/>
      <c r="J34" s="9"/>
      <c r="K34" s="9"/>
      <c r="L34" s="77"/>
      <c r="M34" s="10"/>
      <c r="N34" s="27"/>
      <c r="O34" s="9"/>
      <c r="P34" s="9"/>
      <c r="Q34" s="9"/>
      <c r="R34" s="9"/>
      <c r="S34" s="14">
        <v>0</v>
      </c>
      <c r="T34" s="565">
        <v>0</v>
      </c>
      <c r="U34" s="565">
        <v>3624</v>
      </c>
      <c r="V34" s="565">
        <f t="shared" si="10"/>
        <v>3624</v>
      </c>
      <c r="W34" s="565">
        <v>0</v>
      </c>
      <c r="X34" s="565">
        <f t="shared" si="24"/>
        <v>3624</v>
      </c>
      <c r="Y34" s="565">
        <v>0</v>
      </c>
      <c r="Z34" s="565">
        <f t="shared" si="25"/>
        <v>3624</v>
      </c>
    </row>
    <row r="35" spans="1:26">
      <c r="A35" s="115">
        <v>32</v>
      </c>
      <c r="B35" s="114"/>
      <c r="C35" s="3" t="s">
        <v>560</v>
      </c>
      <c r="D35" s="3"/>
      <c r="E35" s="7"/>
      <c r="F35" s="9">
        <v>1500000</v>
      </c>
      <c r="G35" s="9">
        <v>1895613</v>
      </c>
      <c r="H35" s="9">
        <v>395613</v>
      </c>
      <c r="I35" s="9">
        <v>0</v>
      </c>
      <c r="J35" s="9">
        <f t="shared" si="9"/>
        <v>395613</v>
      </c>
      <c r="K35" s="9">
        <f t="shared" ref="K35" si="26">+L35-J35</f>
        <v>0</v>
      </c>
      <c r="L35" s="77">
        <v>395613</v>
      </c>
      <c r="M35" s="10">
        <v>0</v>
      </c>
      <c r="N35" s="27">
        <v>395613</v>
      </c>
      <c r="O35" s="9">
        <v>0</v>
      </c>
      <c r="P35" s="9">
        <v>0</v>
      </c>
      <c r="Q35" s="9">
        <v>0</v>
      </c>
      <c r="R35" s="9"/>
      <c r="S35" s="9">
        <v>0</v>
      </c>
      <c r="T35" s="565">
        <v>0</v>
      </c>
      <c r="U35" s="565">
        <v>0</v>
      </c>
      <c r="V35" s="565">
        <f t="shared" si="10"/>
        <v>0</v>
      </c>
      <c r="W35" s="565">
        <v>0</v>
      </c>
      <c r="X35" s="565">
        <f t="shared" si="24"/>
        <v>0</v>
      </c>
      <c r="Y35" s="565">
        <v>0</v>
      </c>
      <c r="Z35" s="565">
        <f t="shared" si="25"/>
        <v>0</v>
      </c>
    </row>
    <row r="36" spans="1:26">
      <c r="A36" s="24">
        <v>33</v>
      </c>
      <c r="B36" s="113" t="s">
        <v>19</v>
      </c>
      <c r="C36" s="16"/>
      <c r="D36" s="16"/>
      <c r="E36" s="17"/>
      <c r="F36" s="11">
        <f>+F32+F26+F8</f>
        <v>6161149</v>
      </c>
      <c r="G36" s="11">
        <f>+G32+G26+G8</f>
        <v>10304020</v>
      </c>
      <c r="H36" s="11" t="e">
        <f>H32+H26+H8</f>
        <v>#REF!</v>
      </c>
      <c r="I36" s="11" t="e">
        <f>I32+I26+I8</f>
        <v>#REF!</v>
      </c>
      <c r="J36" s="11" t="e">
        <f>J32+J26+J8</f>
        <v>#REF!</v>
      </c>
      <c r="K36" s="11" t="e">
        <f>K32+K26+K8</f>
        <v>#REF!</v>
      </c>
      <c r="L36" s="31">
        <f>+L32+L26+L8</f>
        <v>6425513</v>
      </c>
      <c r="M36" s="85">
        <f>+M32+M26+M8</f>
        <v>223487</v>
      </c>
      <c r="N36" s="85">
        <f>+N32+N26+N8</f>
        <v>6649000</v>
      </c>
      <c r="O36" s="8">
        <f>+O32+O26+O8</f>
        <v>5361749</v>
      </c>
      <c r="P36" s="111">
        <f>SUM(P8,P26,P32)</f>
        <v>5140205</v>
      </c>
      <c r="Q36" s="111">
        <f>SUM(Q8,Q26,Q32)</f>
        <v>16331484</v>
      </c>
      <c r="R36" s="111">
        <f>SUM(R8,R26,R32)</f>
        <v>11947557</v>
      </c>
      <c r="S36" s="111">
        <f>SUM(S8,S26,S32)</f>
        <v>9561064</v>
      </c>
      <c r="T36" s="122">
        <f>SUM(T8,T26,T32)</f>
        <v>7287102</v>
      </c>
      <c r="U36" s="122">
        <f t="shared" ref="U36:Z36" si="27">+U32+U26+U8</f>
        <v>517598</v>
      </c>
      <c r="V36" s="122">
        <f t="shared" si="27"/>
        <v>7804700</v>
      </c>
      <c r="W36" s="122">
        <f t="shared" si="27"/>
        <v>44382</v>
      </c>
      <c r="X36" s="122">
        <f t="shared" si="27"/>
        <v>7849082</v>
      </c>
      <c r="Y36" s="122">
        <f t="shared" si="27"/>
        <v>399995</v>
      </c>
      <c r="Z36" s="122">
        <f t="shared" si="27"/>
        <v>8249077</v>
      </c>
    </row>
    <row r="37" spans="1:26" ht="84.75" customHeight="1">
      <c r="A37" s="115">
        <v>34</v>
      </c>
      <c r="B37" s="113" t="s">
        <v>546</v>
      </c>
      <c r="C37" s="3"/>
      <c r="D37" s="3"/>
      <c r="E37" s="7"/>
      <c r="F37" s="15" t="s">
        <v>107</v>
      </c>
      <c r="G37" s="6" t="s">
        <v>113</v>
      </c>
      <c r="H37" s="6" t="s">
        <v>112</v>
      </c>
      <c r="I37" s="24" t="s">
        <v>111</v>
      </c>
      <c r="J37" s="6" t="s">
        <v>115</v>
      </c>
      <c r="K37" s="24" t="s">
        <v>111</v>
      </c>
      <c r="L37" s="76" t="s">
        <v>255</v>
      </c>
      <c r="M37" s="86" t="s">
        <v>111</v>
      </c>
      <c r="N37" s="76" t="s">
        <v>260</v>
      </c>
      <c r="O37" s="6" t="str">
        <f>$O$4</f>
        <v>Előirányzat
4/2020. (III.05.) önkormányzati rendelet</v>
      </c>
      <c r="P37" s="6" t="s">
        <v>460</v>
      </c>
      <c r="Q37" s="6" t="str">
        <f>Q$4</f>
        <v>Előirányzat
3/2022. (II.10.) önkormányzati rendelet</v>
      </c>
      <c r="R37" s="6" t="str">
        <f>R$4</f>
        <v>Előirányzat
1./2023. (II.23.) önkormányzati rendelet</v>
      </c>
      <c r="S37" s="6" t="str">
        <f>S$4</f>
        <v>Előirányzat
1./2024. (II)22. önkormányzati rendelet</v>
      </c>
      <c r="T37" s="562" t="str">
        <f>T$4</f>
        <v>Előirányzat
2/2025. (II.20.) önkormányzati rendelet</v>
      </c>
      <c r="U37" s="562" t="s">
        <v>111</v>
      </c>
      <c r="V37" s="562" t="str">
        <f>V4</f>
        <v>Előirányzat 13/2025. (VI.26.) önkormányzati rendelet</v>
      </c>
      <c r="W37" s="562" t="s">
        <v>111</v>
      </c>
      <c r="X37" s="562" t="str">
        <f>X4</f>
        <v>Előirányzat 16/2025. (IX.25.) önkormányzati rendelet</v>
      </c>
      <c r="Y37" s="562" t="s">
        <v>111</v>
      </c>
      <c r="Z37" s="562" t="str">
        <f>Z4</f>
        <v>Módosított előirányzat</v>
      </c>
    </row>
    <row r="38" spans="1:26">
      <c r="A38" s="24">
        <v>35</v>
      </c>
      <c r="B38" s="113" t="s">
        <v>25</v>
      </c>
      <c r="C38" s="3"/>
      <c r="D38" s="3"/>
      <c r="E38" s="7"/>
      <c r="F38" s="9"/>
      <c r="G38" s="3"/>
      <c r="H38" s="9"/>
      <c r="I38" s="3"/>
      <c r="J38" s="3"/>
      <c r="K38" s="3"/>
      <c r="L38" s="29"/>
      <c r="M38" s="49"/>
      <c r="N38" s="106"/>
      <c r="O38" s="3"/>
      <c r="P38" s="3"/>
      <c r="Q38" s="3"/>
      <c r="R38" s="3"/>
      <c r="S38" s="3"/>
      <c r="T38" s="569"/>
      <c r="U38" s="569"/>
      <c r="V38" s="569"/>
      <c r="W38" s="569"/>
      <c r="X38" s="569"/>
      <c r="Y38" s="569"/>
      <c r="Z38" s="569"/>
    </row>
    <row r="39" spans="1:26">
      <c r="A39" s="115">
        <v>36</v>
      </c>
      <c r="B39" s="113"/>
      <c r="C39" s="3" t="s">
        <v>26</v>
      </c>
      <c r="D39" s="3"/>
      <c r="E39" s="7"/>
      <c r="F39" s="9"/>
      <c r="G39" s="3"/>
      <c r="H39" s="9"/>
      <c r="I39" s="3"/>
      <c r="J39" s="3"/>
      <c r="K39" s="3"/>
      <c r="L39" s="29"/>
      <c r="M39" s="49"/>
      <c r="N39" s="106"/>
      <c r="O39" s="3"/>
      <c r="P39" s="9"/>
      <c r="Q39" s="9"/>
      <c r="R39" s="9"/>
      <c r="S39" s="9"/>
      <c r="T39" s="565"/>
      <c r="U39" s="565"/>
      <c r="V39" s="565"/>
      <c r="W39" s="565"/>
      <c r="X39" s="565"/>
      <c r="Y39" s="565"/>
      <c r="Z39" s="565"/>
    </row>
    <row r="40" spans="1:26">
      <c r="A40" s="115">
        <v>37</v>
      </c>
      <c r="B40" s="113" t="s">
        <v>28</v>
      </c>
      <c r="C40" s="16"/>
      <c r="D40" s="16"/>
      <c r="E40" s="17"/>
      <c r="F40" s="11">
        <f>+F41+F51+F52</f>
        <v>500</v>
      </c>
      <c r="G40" s="11">
        <f>+G41+G51+G52</f>
        <v>12867</v>
      </c>
      <c r="H40" s="11">
        <f>H41+H51+H52</f>
        <v>5000</v>
      </c>
      <c r="I40" s="11">
        <v>5281</v>
      </c>
      <c r="J40" s="11">
        <f>H40+I40</f>
        <v>10281</v>
      </c>
      <c r="K40" s="11">
        <f>+L40-J40</f>
        <v>119</v>
      </c>
      <c r="L40" s="31">
        <f>SUM(L42:L62)</f>
        <v>10400</v>
      </c>
      <c r="M40" s="85">
        <f>SUM(M42:M62)</f>
        <v>9952</v>
      </c>
      <c r="N40" s="85">
        <f>SUM(N42:N62)</f>
        <v>20352</v>
      </c>
      <c r="O40" s="8">
        <f t="shared" ref="O40:Z40" si="28">SUM(O41,O51,O52,O53)</f>
        <v>5000</v>
      </c>
      <c r="P40" s="121">
        <f t="shared" si="28"/>
        <v>5000</v>
      </c>
      <c r="Q40" s="121">
        <f t="shared" si="28"/>
        <v>5000</v>
      </c>
      <c r="R40" s="121">
        <f t="shared" si="28"/>
        <v>27593</v>
      </c>
      <c r="S40" s="121">
        <f t="shared" si="28"/>
        <v>18114</v>
      </c>
      <c r="T40" s="122">
        <f t="shared" si="28"/>
        <v>18686</v>
      </c>
      <c r="U40" s="122">
        <f t="shared" si="28"/>
        <v>1971</v>
      </c>
      <c r="V40" s="122">
        <f t="shared" si="28"/>
        <v>20657</v>
      </c>
      <c r="W40" s="122">
        <f t="shared" si="28"/>
        <v>1526</v>
      </c>
      <c r="X40" s="122">
        <f t="shared" si="28"/>
        <v>22183</v>
      </c>
      <c r="Y40" s="122">
        <f t="shared" si="28"/>
        <v>0</v>
      </c>
      <c r="Z40" s="122">
        <f t="shared" si="28"/>
        <v>22183</v>
      </c>
    </row>
    <row r="41" spans="1:26">
      <c r="A41" s="24">
        <v>38</v>
      </c>
      <c r="B41" s="114"/>
      <c r="C41" s="3" t="s">
        <v>29</v>
      </c>
      <c r="D41" s="3"/>
      <c r="E41" s="7"/>
      <c r="F41" s="9">
        <f>+F42+F49+F50</f>
        <v>0</v>
      </c>
      <c r="G41" s="9">
        <v>6379</v>
      </c>
      <c r="H41" s="9">
        <f>H42+H43+H44+H45+H46+H47+H48+H49+H50</f>
        <v>0</v>
      </c>
      <c r="I41" s="9">
        <v>5281</v>
      </c>
      <c r="J41" s="9">
        <f t="shared" ref="J41:J65" si="29">H41+I41</f>
        <v>5281</v>
      </c>
      <c r="K41" s="9">
        <f>+L41-J41</f>
        <v>119</v>
      </c>
      <c r="L41" s="29">
        <f>+L50</f>
        <v>5400</v>
      </c>
      <c r="M41" s="27">
        <f>+M50</f>
        <v>9952</v>
      </c>
      <c r="N41" s="27">
        <f>L41+M41</f>
        <v>15352</v>
      </c>
      <c r="O41" s="10">
        <v>0</v>
      </c>
      <c r="P41" s="137">
        <f t="shared" ref="P41:U41" si="30">SUM(P42,P49:P50)</f>
        <v>0</v>
      </c>
      <c r="Q41" s="137">
        <f t="shared" si="30"/>
        <v>0</v>
      </c>
      <c r="R41" s="137">
        <f t="shared" si="30"/>
        <v>13500</v>
      </c>
      <c r="S41" s="137">
        <f t="shared" si="30"/>
        <v>8157</v>
      </c>
      <c r="T41" s="570">
        <f t="shared" si="30"/>
        <v>8157</v>
      </c>
      <c r="U41" s="570">
        <f t="shared" si="30"/>
        <v>1884</v>
      </c>
      <c r="V41" s="570">
        <f>T41+U41</f>
        <v>10041</v>
      </c>
      <c r="W41" s="570">
        <f t="shared" ref="W41:Y41" si="31">SUM(W42,W49:W50)</f>
        <v>0</v>
      </c>
      <c r="X41" s="570">
        <f>V41+W41</f>
        <v>10041</v>
      </c>
      <c r="Y41" s="570">
        <f t="shared" si="31"/>
        <v>0</v>
      </c>
      <c r="Z41" s="570">
        <f>X41+Y41</f>
        <v>10041</v>
      </c>
    </row>
    <row r="42" spans="1:26">
      <c r="A42" s="115">
        <v>39</v>
      </c>
      <c r="B42" s="114"/>
      <c r="C42" s="3"/>
      <c r="D42" s="3" t="s">
        <v>36</v>
      </c>
      <c r="E42" s="7"/>
      <c r="F42" s="9">
        <v>0</v>
      </c>
      <c r="G42" s="9">
        <v>0</v>
      </c>
      <c r="H42" s="11">
        <v>0</v>
      </c>
      <c r="I42" s="9">
        <v>0</v>
      </c>
      <c r="J42" s="9">
        <f t="shared" si="29"/>
        <v>0</v>
      </c>
      <c r="K42" s="9">
        <f t="shared" ref="K42:K62" si="32">+L42-J42</f>
        <v>0</v>
      </c>
      <c r="L42" s="29">
        <v>0</v>
      </c>
      <c r="M42" s="49">
        <v>0</v>
      </c>
      <c r="N42" s="106">
        <v>0</v>
      </c>
      <c r="O42" s="3">
        <v>0</v>
      </c>
      <c r="P42" s="136">
        <f t="shared" ref="P42:T42" si="33">SUM(P43:P48)</f>
        <v>0</v>
      </c>
      <c r="Q42" s="136">
        <f t="shared" si="33"/>
        <v>0</v>
      </c>
      <c r="R42" s="136">
        <f t="shared" si="33"/>
        <v>0</v>
      </c>
      <c r="S42" s="136">
        <f t="shared" si="33"/>
        <v>0</v>
      </c>
      <c r="T42" s="564">
        <f t="shared" si="33"/>
        <v>0</v>
      </c>
      <c r="U42" s="564">
        <f>SUM(U43:U48)</f>
        <v>0</v>
      </c>
      <c r="V42" s="564">
        <v>0</v>
      </c>
      <c r="W42" s="564">
        <f>SUM(W43:W48)</f>
        <v>0</v>
      </c>
      <c r="X42" s="564">
        <v>0</v>
      </c>
      <c r="Y42" s="564">
        <f>SUM(Y43:Y48)</f>
        <v>0</v>
      </c>
      <c r="Z42" s="564">
        <v>0</v>
      </c>
    </row>
    <row r="43" spans="1:26">
      <c r="A43" s="115">
        <v>40</v>
      </c>
      <c r="B43" s="114"/>
      <c r="C43" s="3"/>
      <c r="D43" s="3"/>
      <c r="E43" s="18" t="s">
        <v>30</v>
      </c>
      <c r="F43" s="19">
        <v>0</v>
      </c>
      <c r="G43" s="9">
        <v>0</v>
      </c>
      <c r="H43" s="11">
        <v>0</v>
      </c>
      <c r="I43" s="9">
        <v>0</v>
      </c>
      <c r="J43" s="9">
        <f t="shared" si="29"/>
        <v>0</v>
      </c>
      <c r="K43" s="9">
        <f t="shared" si="32"/>
        <v>0</v>
      </c>
      <c r="L43" s="29">
        <v>0</v>
      </c>
      <c r="M43" s="49">
        <v>0</v>
      </c>
      <c r="N43" s="106">
        <v>0</v>
      </c>
      <c r="O43" s="3">
        <v>0</v>
      </c>
      <c r="P43" s="9">
        <v>0</v>
      </c>
      <c r="Q43" s="9">
        <v>0</v>
      </c>
      <c r="R43" s="9">
        <v>0</v>
      </c>
      <c r="S43" s="9">
        <v>0</v>
      </c>
      <c r="T43" s="565">
        <v>0</v>
      </c>
      <c r="U43" s="565">
        <v>0</v>
      </c>
      <c r="V43" s="565">
        <v>0</v>
      </c>
      <c r="W43" s="565">
        <v>0</v>
      </c>
      <c r="X43" s="565">
        <v>0</v>
      </c>
      <c r="Y43" s="565">
        <v>0</v>
      </c>
      <c r="Z43" s="565">
        <v>0</v>
      </c>
    </row>
    <row r="44" spans="1:26">
      <c r="A44" s="24">
        <v>41</v>
      </c>
      <c r="B44" s="114"/>
      <c r="C44" s="3"/>
      <c r="D44" s="3"/>
      <c r="E44" s="18" t="s">
        <v>31</v>
      </c>
      <c r="F44" s="19">
        <v>0</v>
      </c>
      <c r="G44" s="9">
        <v>0</v>
      </c>
      <c r="H44" s="11">
        <v>0</v>
      </c>
      <c r="I44" s="9">
        <v>0</v>
      </c>
      <c r="J44" s="9">
        <f t="shared" si="29"/>
        <v>0</v>
      </c>
      <c r="K44" s="9">
        <f t="shared" si="32"/>
        <v>0</v>
      </c>
      <c r="L44" s="29">
        <v>0</v>
      </c>
      <c r="M44" s="49">
        <v>0</v>
      </c>
      <c r="N44" s="106">
        <v>0</v>
      </c>
      <c r="O44" s="3">
        <v>0</v>
      </c>
      <c r="P44" s="9">
        <v>0</v>
      </c>
      <c r="Q44" s="9">
        <v>0</v>
      </c>
      <c r="R44" s="9">
        <v>0</v>
      </c>
      <c r="S44" s="9">
        <v>0</v>
      </c>
      <c r="T44" s="565">
        <v>0</v>
      </c>
      <c r="U44" s="565">
        <v>0</v>
      </c>
      <c r="V44" s="565">
        <v>0</v>
      </c>
      <c r="W44" s="565">
        <v>0</v>
      </c>
      <c r="X44" s="565">
        <v>0</v>
      </c>
      <c r="Y44" s="565">
        <v>0</v>
      </c>
      <c r="Z44" s="565">
        <v>0</v>
      </c>
    </row>
    <row r="45" spans="1:26" ht="30">
      <c r="A45" s="115">
        <v>42</v>
      </c>
      <c r="B45" s="114"/>
      <c r="C45" s="3"/>
      <c r="D45" s="3"/>
      <c r="E45" s="20" t="s">
        <v>32</v>
      </c>
      <c r="F45" s="19">
        <v>0</v>
      </c>
      <c r="G45" s="9">
        <v>0</v>
      </c>
      <c r="H45" s="11">
        <v>0</v>
      </c>
      <c r="I45" s="9">
        <v>0</v>
      </c>
      <c r="J45" s="9">
        <f t="shared" si="29"/>
        <v>0</v>
      </c>
      <c r="K45" s="9">
        <f t="shared" si="32"/>
        <v>0</v>
      </c>
      <c r="L45" s="29">
        <v>0</v>
      </c>
      <c r="M45" s="49">
        <v>0</v>
      </c>
      <c r="N45" s="106">
        <v>0</v>
      </c>
      <c r="O45" s="3">
        <v>0</v>
      </c>
      <c r="P45" s="9">
        <v>0</v>
      </c>
      <c r="Q45" s="9">
        <v>0</v>
      </c>
      <c r="R45" s="9">
        <v>0</v>
      </c>
      <c r="S45" s="9">
        <v>0</v>
      </c>
      <c r="T45" s="565">
        <v>0</v>
      </c>
      <c r="U45" s="565">
        <v>0</v>
      </c>
      <c r="V45" s="565">
        <v>0</v>
      </c>
      <c r="W45" s="565">
        <v>0</v>
      </c>
      <c r="X45" s="565">
        <v>0</v>
      </c>
      <c r="Y45" s="565">
        <v>0</v>
      </c>
      <c r="Z45" s="565">
        <v>0</v>
      </c>
    </row>
    <row r="46" spans="1:26">
      <c r="A46" s="115">
        <v>43</v>
      </c>
      <c r="B46" s="114"/>
      <c r="C46" s="3"/>
      <c r="D46" s="3"/>
      <c r="E46" s="20" t="s">
        <v>33</v>
      </c>
      <c r="F46" s="19">
        <v>0</v>
      </c>
      <c r="G46" s="9">
        <v>0</v>
      </c>
      <c r="H46" s="11">
        <v>0</v>
      </c>
      <c r="I46" s="9">
        <v>0</v>
      </c>
      <c r="J46" s="9">
        <f t="shared" si="29"/>
        <v>0</v>
      </c>
      <c r="K46" s="9">
        <f t="shared" si="32"/>
        <v>0</v>
      </c>
      <c r="L46" s="29">
        <v>0</v>
      </c>
      <c r="M46" s="49">
        <v>0</v>
      </c>
      <c r="N46" s="106">
        <v>0</v>
      </c>
      <c r="O46" s="3">
        <v>0</v>
      </c>
      <c r="P46" s="9">
        <v>0</v>
      </c>
      <c r="Q46" s="9">
        <v>0</v>
      </c>
      <c r="R46" s="9">
        <v>0</v>
      </c>
      <c r="S46" s="9">
        <v>0</v>
      </c>
      <c r="T46" s="565">
        <v>0</v>
      </c>
      <c r="U46" s="565">
        <v>0</v>
      </c>
      <c r="V46" s="565">
        <v>0</v>
      </c>
      <c r="W46" s="565">
        <v>0</v>
      </c>
      <c r="X46" s="565">
        <v>0</v>
      </c>
      <c r="Y46" s="565">
        <v>0</v>
      </c>
      <c r="Z46" s="565">
        <v>0</v>
      </c>
    </row>
    <row r="47" spans="1:26">
      <c r="A47" s="24">
        <v>44</v>
      </c>
      <c r="B47" s="114"/>
      <c r="C47" s="3"/>
      <c r="D47" s="3"/>
      <c r="E47" s="20" t="s">
        <v>34</v>
      </c>
      <c r="F47" s="19">
        <v>0</v>
      </c>
      <c r="G47" s="9">
        <v>0</v>
      </c>
      <c r="H47" s="11">
        <v>0</v>
      </c>
      <c r="I47" s="9">
        <v>0</v>
      </c>
      <c r="J47" s="9">
        <f t="shared" si="29"/>
        <v>0</v>
      </c>
      <c r="K47" s="9">
        <f t="shared" si="32"/>
        <v>0</v>
      </c>
      <c r="L47" s="29">
        <v>0</v>
      </c>
      <c r="M47" s="49">
        <v>0</v>
      </c>
      <c r="N47" s="106">
        <v>0</v>
      </c>
      <c r="O47" s="3">
        <v>0</v>
      </c>
      <c r="P47" s="9">
        <v>0</v>
      </c>
      <c r="Q47" s="9">
        <v>0</v>
      </c>
      <c r="R47" s="9">
        <v>0</v>
      </c>
      <c r="S47" s="9">
        <v>0</v>
      </c>
      <c r="T47" s="565">
        <v>0</v>
      </c>
      <c r="U47" s="565">
        <v>0</v>
      </c>
      <c r="V47" s="565">
        <v>0</v>
      </c>
      <c r="W47" s="565">
        <v>0</v>
      </c>
      <c r="X47" s="565">
        <v>0</v>
      </c>
      <c r="Y47" s="565">
        <v>0</v>
      </c>
      <c r="Z47" s="565">
        <v>0</v>
      </c>
    </row>
    <row r="48" spans="1:26">
      <c r="A48" s="115">
        <v>45</v>
      </c>
      <c r="B48" s="114"/>
      <c r="C48" s="3"/>
      <c r="D48" s="3"/>
      <c r="E48" s="20" t="s">
        <v>35</v>
      </c>
      <c r="F48" s="19">
        <v>0</v>
      </c>
      <c r="G48" s="9">
        <v>0</v>
      </c>
      <c r="H48" s="11">
        <v>0</v>
      </c>
      <c r="I48" s="9">
        <v>0</v>
      </c>
      <c r="J48" s="9">
        <f t="shared" si="29"/>
        <v>0</v>
      </c>
      <c r="K48" s="9"/>
      <c r="L48" s="29"/>
      <c r="M48" s="49">
        <v>0</v>
      </c>
      <c r="N48" s="106">
        <v>0</v>
      </c>
      <c r="O48" s="3">
        <v>0</v>
      </c>
      <c r="P48" s="9">
        <v>0</v>
      </c>
      <c r="Q48" s="9">
        <v>0</v>
      </c>
      <c r="R48" s="9">
        <v>0</v>
      </c>
      <c r="S48" s="9">
        <v>0</v>
      </c>
      <c r="T48" s="565">
        <v>0</v>
      </c>
      <c r="U48" s="565">
        <v>0</v>
      </c>
      <c r="V48" s="565">
        <v>0</v>
      </c>
      <c r="W48" s="565">
        <v>0</v>
      </c>
      <c r="X48" s="565">
        <v>0</v>
      </c>
      <c r="Y48" s="565">
        <v>0</v>
      </c>
      <c r="Z48" s="565">
        <v>0</v>
      </c>
    </row>
    <row r="49" spans="1:26">
      <c r="A49" s="115">
        <v>46</v>
      </c>
      <c r="B49" s="114"/>
      <c r="C49" s="3"/>
      <c r="D49" s="3" t="s">
        <v>47</v>
      </c>
      <c r="E49" s="21"/>
      <c r="F49" s="9">
        <v>0</v>
      </c>
      <c r="G49" s="9">
        <v>0</v>
      </c>
      <c r="H49" s="11">
        <v>0</v>
      </c>
      <c r="I49" s="9">
        <v>0</v>
      </c>
      <c r="J49" s="9">
        <f t="shared" si="29"/>
        <v>0</v>
      </c>
      <c r="K49" s="9">
        <f t="shared" si="32"/>
        <v>0</v>
      </c>
      <c r="L49" s="29">
        <v>0</v>
      </c>
      <c r="M49" s="49">
        <v>0</v>
      </c>
      <c r="N49" s="106">
        <v>0</v>
      </c>
      <c r="O49" s="3">
        <v>0</v>
      </c>
      <c r="P49" s="9">
        <v>0</v>
      </c>
      <c r="Q49" s="9">
        <v>0</v>
      </c>
      <c r="R49" s="9">
        <v>0</v>
      </c>
      <c r="S49" s="9">
        <v>0</v>
      </c>
      <c r="T49" s="565">
        <v>0</v>
      </c>
      <c r="U49" s="565">
        <v>0</v>
      </c>
      <c r="V49" s="565">
        <v>0</v>
      </c>
      <c r="W49" s="565">
        <v>0</v>
      </c>
      <c r="X49" s="565">
        <v>0</v>
      </c>
      <c r="Y49" s="565">
        <v>0</v>
      </c>
      <c r="Z49" s="565">
        <v>0</v>
      </c>
    </row>
    <row r="50" spans="1:26">
      <c r="A50" s="24">
        <v>47</v>
      </c>
      <c r="B50" s="114"/>
      <c r="C50" s="3"/>
      <c r="D50" s="3" t="s">
        <v>37</v>
      </c>
      <c r="E50" s="21"/>
      <c r="F50" s="9">
        <v>0</v>
      </c>
      <c r="G50" s="11">
        <v>6379</v>
      </c>
      <c r="H50" s="9"/>
      <c r="I50" s="9">
        <v>5281</v>
      </c>
      <c r="J50" s="9">
        <f t="shared" si="29"/>
        <v>5281</v>
      </c>
      <c r="K50" s="9">
        <v>119</v>
      </c>
      <c r="L50" s="29">
        <f>K50+J50</f>
        <v>5400</v>
      </c>
      <c r="M50" s="10">
        <v>9952</v>
      </c>
      <c r="N50" s="27">
        <f>L50+M50</f>
        <v>15352</v>
      </c>
      <c r="O50" s="3">
        <v>0</v>
      </c>
      <c r="P50" s="9">
        <v>0</v>
      </c>
      <c r="Q50" s="9">
        <v>0</v>
      </c>
      <c r="R50" s="9">
        <v>13500</v>
      </c>
      <c r="S50" s="9">
        <v>8157</v>
      </c>
      <c r="T50" s="565">
        <v>8157</v>
      </c>
      <c r="U50" s="565">
        <v>1884</v>
      </c>
      <c r="V50" s="565">
        <f>T50+U50</f>
        <v>10041</v>
      </c>
      <c r="W50" s="565">
        <v>0</v>
      </c>
      <c r="X50" s="565">
        <f>V50+W50</f>
        <v>10041</v>
      </c>
      <c r="Y50" s="565">
        <v>0</v>
      </c>
      <c r="Z50" s="565">
        <f>X50+Y50</f>
        <v>10041</v>
      </c>
    </row>
    <row r="51" spans="1:26">
      <c r="A51" s="115">
        <v>48</v>
      </c>
      <c r="B51" s="114"/>
      <c r="C51" s="3" t="s">
        <v>38</v>
      </c>
      <c r="D51" s="3"/>
      <c r="E51" s="21"/>
      <c r="F51" s="9">
        <v>500</v>
      </c>
      <c r="G51" s="9">
        <v>6488</v>
      </c>
      <c r="H51" s="9">
        <v>5000</v>
      </c>
      <c r="I51" s="9">
        <v>0</v>
      </c>
      <c r="J51" s="9">
        <f t="shared" si="29"/>
        <v>5000</v>
      </c>
      <c r="K51" s="9">
        <f t="shared" si="32"/>
        <v>0</v>
      </c>
      <c r="L51" s="29">
        <v>5000</v>
      </c>
      <c r="M51" s="49">
        <v>0</v>
      </c>
      <c r="N51" s="27">
        <v>5000</v>
      </c>
      <c r="O51" s="9">
        <v>5000</v>
      </c>
      <c r="P51" s="9">
        <v>5000</v>
      </c>
      <c r="Q51" s="9">
        <v>5000</v>
      </c>
      <c r="R51" s="9">
        <v>14093</v>
      </c>
      <c r="S51" s="9">
        <v>9957</v>
      </c>
      <c r="T51" s="565">
        <v>10529</v>
      </c>
      <c r="U51" s="565">
        <v>87</v>
      </c>
      <c r="V51" s="565">
        <f>T51+U51</f>
        <v>10616</v>
      </c>
      <c r="W51" s="565">
        <v>1526</v>
      </c>
      <c r="X51" s="565">
        <f>V51+W51</f>
        <v>12142</v>
      </c>
      <c r="Y51" s="565">
        <v>0</v>
      </c>
      <c r="Z51" s="565">
        <f>X51+Y51</f>
        <v>12142</v>
      </c>
    </row>
    <row r="52" spans="1:26">
      <c r="A52" s="115">
        <v>49</v>
      </c>
      <c r="B52" s="114"/>
      <c r="C52" s="3" t="s">
        <v>39</v>
      </c>
      <c r="D52" s="3"/>
      <c r="E52" s="21"/>
      <c r="F52" s="9">
        <v>0</v>
      </c>
      <c r="G52" s="9">
        <v>0</v>
      </c>
      <c r="H52" s="9">
        <v>0</v>
      </c>
      <c r="I52" s="9">
        <v>0</v>
      </c>
      <c r="J52" s="9">
        <f t="shared" si="29"/>
        <v>0</v>
      </c>
      <c r="K52" s="9">
        <f t="shared" si="32"/>
        <v>0</v>
      </c>
      <c r="L52" s="29">
        <v>0</v>
      </c>
      <c r="M52" s="49">
        <v>0</v>
      </c>
      <c r="N52" s="106">
        <v>0</v>
      </c>
      <c r="O52" s="3">
        <v>0</v>
      </c>
      <c r="P52" s="9">
        <v>0</v>
      </c>
      <c r="Q52" s="9">
        <v>0</v>
      </c>
      <c r="R52" s="9">
        <v>0</v>
      </c>
      <c r="S52" s="9">
        <v>0</v>
      </c>
      <c r="T52" s="565">
        <v>0</v>
      </c>
      <c r="U52" s="565">
        <v>0</v>
      </c>
      <c r="V52" s="565">
        <v>0</v>
      </c>
      <c r="W52" s="565">
        <v>0</v>
      </c>
      <c r="X52" s="565">
        <v>0</v>
      </c>
      <c r="Y52" s="565">
        <v>0</v>
      </c>
      <c r="Z52" s="565">
        <v>0</v>
      </c>
    </row>
    <row r="53" spans="1:26">
      <c r="A53" s="24">
        <v>50</v>
      </c>
      <c r="B53" s="114"/>
      <c r="C53" s="3" t="s">
        <v>452</v>
      </c>
      <c r="D53" s="3"/>
      <c r="E53" s="21"/>
      <c r="F53" s="9"/>
      <c r="G53" s="3"/>
      <c r="H53" s="9"/>
      <c r="I53" s="9"/>
      <c r="J53" s="9"/>
      <c r="K53" s="9"/>
      <c r="L53" s="29"/>
      <c r="M53" s="49"/>
      <c r="N53" s="106"/>
      <c r="O53" s="9">
        <f t="shared" ref="O53:Z53" si="34">SUM(O54:O57)</f>
        <v>0</v>
      </c>
      <c r="P53" s="135">
        <f t="shared" si="34"/>
        <v>0</v>
      </c>
      <c r="Q53" s="135">
        <f t="shared" si="34"/>
        <v>0</v>
      </c>
      <c r="R53" s="135">
        <f t="shared" si="34"/>
        <v>0</v>
      </c>
      <c r="S53" s="566">
        <f t="shared" si="34"/>
        <v>0</v>
      </c>
      <c r="T53" s="566">
        <f t="shared" si="34"/>
        <v>0</v>
      </c>
      <c r="U53" s="566">
        <f t="shared" si="34"/>
        <v>0</v>
      </c>
      <c r="V53" s="566">
        <f t="shared" si="34"/>
        <v>0</v>
      </c>
      <c r="W53" s="566">
        <f t="shared" si="34"/>
        <v>0</v>
      </c>
      <c r="X53" s="566">
        <f t="shared" si="34"/>
        <v>0</v>
      </c>
      <c r="Y53" s="566">
        <f t="shared" si="34"/>
        <v>0</v>
      </c>
      <c r="Z53" s="566">
        <f t="shared" si="34"/>
        <v>0</v>
      </c>
    </row>
    <row r="54" spans="1:26">
      <c r="A54" s="115">
        <v>51</v>
      </c>
      <c r="B54" s="114"/>
      <c r="C54" s="3"/>
      <c r="D54" s="3" t="s">
        <v>454</v>
      </c>
      <c r="E54" s="21"/>
      <c r="F54" s="9"/>
      <c r="G54" s="3"/>
      <c r="H54" s="9"/>
      <c r="I54" s="9"/>
      <c r="J54" s="9"/>
      <c r="K54" s="9"/>
      <c r="L54" s="29"/>
      <c r="M54" s="49"/>
      <c r="N54" s="106"/>
      <c r="O54" s="9">
        <v>0</v>
      </c>
      <c r="P54" s="9">
        <v>0</v>
      </c>
      <c r="Q54" s="9">
        <v>0</v>
      </c>
      <c r="R54" s="9">
        <v>0</v>
      </c>
      <c r="S54" s="565">
        <v>0</v>
      </c>
      <c r="T54" s="565">
        <v>0</v>
      </c>
      <c r="U54" s="565">
        <v>0</v>
      </c>
      <c r="V54" s="565">
        <f t="shared" ref="V54:V57" si="35">T54+U54</f>
        <v>0</v>
      </c>
      <c r="W54" s="565">
        <v>0</v>
      </c>
      <c r="X54" s="565">
        <f t="shared" ref="X54:X57" si="36">V54+W54</f>
        <v>0</v>
      </c>
      <c r="Y54" s="565">
        <v>0</v>
      </c>
      <c r="Z54" s="565">
        <f t="shared" ref="Z54:Z57" si="37">X54+Y54</f>
        <v>0</v>
      </c>
    </row>
    <row r="55" spans="1:26">
      <c r="A55" s="115">
        <v>52</v>
      </c>
      <c r="B55" s="114"/>
      <c r="C55" s="3"/>
      <c r="D55" s="3" t="s">
        <v>453</v>
      </c>
      <c r="E55" s="21"/>
      <c r="F55" s="9"/>
      <c r="G55" s="3"/>
      <c r="H55" s="9"/>
      <c r="I55" s="9"/>
      <c r="J55" s="9"/>
      <c r="K55" s="9"/>
      <c r="L55" s="29"/>
      <c r="M55" s="49"/>
      <c r="N55" s="106"/>
      <c r="O55" s="9">
        <v>0</v>
      </c>
      <c r="P55" s="9">
        <v>0</v>
      </c>
      <c r="Q55" s="9">
        <v>0</v>
      </c>
      <c r="R55" s="9">
        <v>0</v>
      </c>
      <c r="S55" s="565">
        <v>0</v>
      </c>
      <c r="T55" s="565">
        <v>0</v>
      </c>
      <c r="U55" s="565">
        <v>0</v>
      </c>
      <c r="V55" s="565">
        <f t="shared" si="35"/>
        <v>0</v>
      </c>
      <c r="W55" s="565">
        <v>0</v>
      </c>
      <c r="X55" s="565">
        <f t="shared" si="36"/>
        <v>0</v>
      </c>
      <c r="Y55" s="565">
        <v>0</v>
      </c>
      <c r="Z55" s="565">
        <f t="shared" si="37"/>
        <v>0</v>
      </c>
    </row>
    <row r="56" spans="1:26">
      <c r="A56" s="24">
        <v>53</v>
      </c>
      <c r="B56" s="114"/>
      <c r="C56" s="3"/>
      <c r="D56" s="3" t="s">
        <v>455</v>
      </c>
      <c r="E56" s="21"/>
      <c r="F56" s="9"/>
      <c r="G56" s="3"/>
      <c r="H56" s="9"/>
      <c r="I56" s="9"/>
      <c r="J56" s="9"/>
      <c r="K56" s="9"/>
      <c r="L56" s="29"/>
      <c r="M56" s="49"/>
      <c r="N56" s="106"/>
      <c r="O56" s="9">
        <v>0</v>
      </c>
      <c r="P56" s="9">
        <v>0</v>
      </c>
      <c r="Q56" s="9">
        <v>0</v>
      </c>
      <c r="R56" s="9">
        <v>0</v>
      </c>
      <c r="S56" s="565">
        <v>0</v>
      </c>
      <c r="T56" s="565">
        <v>0</v>
      </c>
      <c r="U56" s="565">
        <v>0</v>
      </c>
      <c r="V56" s="565">
        <f t="shared" si="35"/>
        <v>0</v>
      </c>
      <c r="W56" s="565">
        <v>0</v>
      </c>
      <c r="X56" s="565">
        <f t="shared" si="36"/>
        <v>0</v>
      </c>
      <c r="Y56" s="565">
        <v>0</v>
      </c>
      <c r="Z56" s="565">
        <f t="shared" si="37"/>
        <v>0</v>
      </c>
    </row>
    <row r="57" spans="1:26">
      <c r="A57" s="115">
        <v>54</v>
      </c>
      <c r="B57" s="114"/>
      <c r="C57" s="3"/>
      <c r="D57" s="3" t="s">
        <v>456</v>
      </c>
      <c r="E57" s="21"/>
      <c r="F57" s="9"/>
      <c r="G57" s="3"/>
      <c r="H57" s="9"/>
      <c r="I57" s="9"/>
      <c r="J57" s="9"/>
      <c r="K57" s="9"/>
      <c r="L57" s="29"/>
      <c r="M57" s="49"/>
      <c r="N57" s="106"/>
      <c r="O57" s="9">
        <v>0</v>
      </c>
      <c r="P57" s="9">
        <v>0</v>
      </c>
      <c r="Q57" s="9">
        <v>0</v>
      </c>
      <c r="R57" s="9">
        <v>0</v>
      </c>
      <c r="S57" s="565">
        <v>0</v>
      </c>
      <c r="T57" s="565">
        <v>0</v>
      </c>
      <c r="U57" s="565">
        <v>0</v>
      </c>
      <c r="V57" s="565">
        <f t="shared" si="35"/>
        <v>0</v>
      </c>
      <c r="W57" s="565">
        <v>0</v>
      </c>
      <c r="X57" s="565">
        <f t="shared" si="36"/>
        <v>0</v>
      </c>
      <c r="Y57" s="565">
        <v>0</v>
      </c>
      <c r="Z57" s="565">
        <f t="shared" si="37"/>
        <v>0</v>
      </c>
    </row>
    <row r="58" spans="1:26">
      <c r="A58" s="115">
        <v>55</v>
      </c>
      <c r="B58" s="113" t="s">
        <v>40</v>
      </c>
      <c r="C58" s="16"/>
      <c r="D58" s="16"/>
      <c r="E58" s="17"/>
      <c r="F58" s="11">
        <f>SUM(F59:F62)</f>
        <v>0</v>
      </c>
      <c r="G58" s="9">
        <v>0</v>
      </c>
      <c r="H58" s="9" t="e">
        <f>H59+H60+#REF!+#REF!+#REF!+#REF!+H61+H62</f>
        <v>#REF!</v>
      </c>
      <c r="I58" s="11">
        <v>0</v>
      </c>
      <c r="J58" s="11" t="e">
        <f t="shared" si="29"/>
        <v>#REF!</v>
      </c>
      <c r="K58" s="9" t="e">
        <f t="shared" si="32"/>
        <v>#REF!</v>
      </c>
      <c r="L58" s="29">
        <v>0</v>
      </c>
      <c r="M58" s="49">
        <v>0</v>
      </c>
      <c r="N58" s="106">
        <v>0</v>
      </c>
      <c r="O58" s="3">
        <v>0</v>
      </c>
      <c r="P58" s="121">
        <f>SUM(P59:P62)</f>
        <v>0</v>
      </c>
      <c r="Q58" s="121">
        <f>SUM(Q59:Q62)</f>
        <v>0</v>
      </c>
      <c r="R58" s="121">
        <f>SUM(R59:R62)</f>
        <v>0</v>
      </c>
      <c r="S58" s="122">
        <f>SUM(S59:S62)</f>
        <v>233</v>
      </c>
      <c r="T58" s="122">
        <f>SUM(T59:T62)</f>
        <v>233</v>
      </c>
      <c r="U58" s="122">
        <f t="shared" ref="U58:Z58" si="38">SUM(U59:U62)</f>
        <v>323</v>
      </c>
      <c r="V58" s="122">
        <f t="shared" si="38"/>
        <v>556</v>
      </c>
      <c r="W58" s="122">
        <f t="shared" si="38"/>
        <v>3111</v>
      </c>
      <c r="X58" s="122">
        <f t="shared" si="38"/>
        <v>3667</v>
      </c>
      <c r="Y58" s="122">
        <f t="shared" si="38"/>
        <v>0</v>
      </c>
      <c r="Z58" s="122">
        <f t="shared" si="38"/>
        <v>3667</v>
      </c>
    </row>
    <row r="59" spans="1:26">
      <c r="A59" s="24">
        <v>56</v>
      </c>
      <c r="B59" s="114"/>
      <c r="C59" s="3" t="s">
        <v>41</v>
      </c>
      <c r="D59" s="3"/>
      <c r="E59" s="7"/>
      <c r="F59" s="9">
        <v>0</v>
      </c>
      <c r="G59" s="9">
        <v>0</v>
      </c>
      <c r="H59" s="11">
        <v>0</v>
      </c>
      <c r="I59" s="9">
        <v>0</v>
      </c>
      <c r="J59" s="9">
        <f t="shared" si="29"/>
        <v>0</v>
      </c>
      <c r="K59" s="9">
        <f t="shared" si="32"/>
        <v>0</v>
      </c>
      <c r="L59" s="29">
        <v>0</v>
      </c>
      <c r="M59" s="49">
        <v>0</v>
      </c>
      <c r="N59" s="106">
        <v>0</v>
      </c>
      <c r="O59" s="3">
        <v>0</v>
      </c>
      <c r="P59" s="9">
        <v>0</v>
      </c>
      <c r="Q59" s="9">
        <v>0</v>
      </c>
      <c r="R59" s="9">
        <v>0</v>
      </c>
      <c r="S59" s="565">
        <v>0</v>
      </c>
      <c r="T59" s="565">
        <v>0</v>
      </c>
      <c r="U59" s="565">
        <v>0</v>
      </c>
      <c r="V59" s="565">
        <f t="shared" ref="V59:V62" si="39">T59+U59</f>
        <v>0</v>
      </c>
      <c r="W59" s="565">
        <v>0</v>
      </c>
      <c r="X59" s="565">
        <f t="shared" ref="X59:X62" si="40">V59+W59</f>
        <v>0</v>
      </c>
      <c r="Y59" s="565">
        <v>0</v>
      </c>
      <c r="Z59" s="565">
        <f t="shared" ref="Z59:Z62" si="41">X59+Y59</f>
        <v>0</v>
      </c>
    </row>
    <row r="60" spans="1:26">
      <c r="A60" s="115">
        <v>57</v>
      </c>
      <c r="B60" s="114"/>
      <c r="C60" s="3" t="s">
        <v>42</v>
      </c>
      <c r="D60" s="3"/>
      <c r="E60" s="7"/>
      <c r="F60" s="9">
        <v>0</v>
      </c>
      <c r="G60" s="9">
        <v>0</v>
      </c>
      <c r="H60" s="11">
        <v>0</v>
      </c>
      <c r="I60" s="9">
        <v>0</v>
      </c>
      <c r="J60" s="9">
        <f t="shared" si="29"/>
        <v>0</v>
      </c>
      <c r="K60" s="9">
        <f t="shared" si="32"/>
        <v>0</v>
      </c>
      <c r="L60" s="29">
        <v>0</v>
      </c>
      <c r="M60" s="49">
        <v>0</v>
      </c>
      <c r="N60" s="106">
        <v>0</v>
      </c>
      <c r="O60" s="3">
        <v>0</v>
      </c>
      <c r="P60" s="9">
        <v>0</v>
      </c>
      <c r="Q60" s="9">
        <v>0</v>
      </c>
      <c r="R60" s="9">
        <v>0</v>
      </c>
      <c r="S60" s="565">
        <v>0</v>
      </c>
      <c r="T60" s="565">
        <v>0</v>
      </c>
      <c r="U60" s="565">
        <v>0</v>
      </c>
      <c r="V60" s="565">
        <f t="shared" si="39"/>
        <v>0</v>
      </c>
      <c r="W60" s="565">
        <v>0</v>
      </c>
      <c r="X60" s="565">
        <f t="shared" si="40"/>
        <v>0</v>
      </c>
      <c r="Y60" s="565">
        <v>0</v>
      </c>
      <c r="Z60" s="565">
        <f t="shared" si="41"/>
        <v>0</v>
      </c>
    </row>
    <row r="61" spans="1:26">
      <c r="A61" s="115">
        <v>58</v>
      </c>
      <c r="B61" s="114"/>
      <c r="C61" s="3" t="s">
        <v>44</v>
      </c>
      <c r="D61" s="3"/>
      <c r="E61" s="7"/>
      <c r="F61" s="9">
        <v>0</v>
      </c>
      <c r="G61" s="9">
        <v>0</v>
      </c>
      <c r="H61" s="11">
        <v>0</v>
      </c>
      <c r="I61" s="9">
        <v>0</v>
      </c>
      <c r="J61" s="9">
        <f t="shared" si="29"/>
        <v>0</v>
      </c>
      <c r="K61" s="9">
        <f t="shared" si="32"/>
        <v>0</v>
      </c>
      <c r="L61" s="29">
        <v>0</v>
      </c>
      <c r="M61" s="49">
        <v>0</v>
      </c>
      <c r="N61" s="106">
        <v>0</v>
      </c>
      <c r="O61" s="3">
        <v>0</v>
      </c>
      <c r="P61" s="9">
        <v>0</v>
      </c>
      <c r="Q61" s="9">
        <v>0</v>
      </c>
      <c r="R61" s="9">
        <v>0</v>
      </c>
      <c r="S61" s="565">
        <v>0</v>
      </c>
      <c r="T61" s="565">
        <v>0</v>
      </c>
      <c r="U61" s="565">
        <v>323</v>
      </c>
      <c r="V61" s="565">
        <f t="shared" si="39"/>
        <v>323</v>
      </c>
      <c r="W61" s="565">
        <v>0</v>
      </c>
      <c r="X61" s="565">
        <f t="shared" si="40"/>
        <v>323</v>
      </c>
      <c r="Y61" s="565">
        <v>0</v>
      </c>
      <c r="Z61" s="565">
        <f t="shared" si="41"/>
        <v>323</v>
      </c>
    </row>
    <row r="62" spans="1:26">
      <c r="A62" s="24">
        <v>59</v>
      </c>
      <c r="B62" s="114"/>
      <c r="C62" s="3" t="s">
        <v>43</v>
      </c>
      <c r="D62" s="3"/>
      <c r="E62" s="7"/>
      <c r="F62" s="9">
        <v>0</v>
      </c>
      <c r="G62" s="9">
        <v>0</v>
      </c>
      <c r="H62" s="11">
        <v>0</v>
      </c>
      <c r="I62" s="9">
        <v>0</v>
      </c>
      <c r="J62" s="9">
        <f t="shared" si="29"/>
        <v>0</v>
      </c>
      <c r="K62" s="9">
        <f t="shared" si="32"/>
        <v>0</v>
      </c>
      <c r="L62" s="29">
        <v>0</v>
      </c>
      <c r="M62" s="49">
        <v>0</v>
      </c>
      <c r="N62" s="106">
        <v>0</v>
      </c>
      <c r="O62" s="3">
        <v>0</v>
      </c>
      <c r="P62" s="9">
        <v>0</v>
      </c>
      <c r="Q62" s="9">
        <v>0</v>
      </c>
      <c r="R62" s="9">
        <v>0</v>
      </c>
      <c r="S62" s="565">
        <v>233</v>
      </c>
      <c r="T62" s="565">
        <v>233</v>
      </c>
      <c r="U62" s="565">
        <v>0</v>
      </c>
      <c r="V62" s="565">
        <f t="shared" si="39"/>
        <v>233</v>
      </c>
      <c r="W62" s="565">
        <v>3111</v>
      </c>
      <c r="X62" s="565">
        <f t="shared" si="40"/>
        <v>3344</v>
      </c>
      <c r="Y62" s="565">
        <v>0</v>
      </c>
      <c r="Z62" s="565">
        <f t="shared" si="41"/>
        <v>3344</v>
      </c>
    </row>
    <row r="63" spans="1:26">
      <c r="A63" s="115">
        <v>60</v>
      </c>
      <c r="B63" s="113" t="s">
        <v>45</v>
      </c>
      <c r="C63" s="16"/>
      <c r="D63" s="16"/>
      <c r="E63" s="17"/>
      <c r="F63" s="11">
        <f>+F64+F65</f>
        <v>412105</v>
      </c>
      <c r="G63" s="11">
        <v>455351</v>
      </c>
      <c r="H63" s="11">
        <f>H64+H65</f>
        <v>488359</v>
      </c>
      <c r="I63" s="11">
        <v>9078</v>
      </c>
      <c r="J63" s="11">
        <f t="shared" si="29"/>
        <v>497437</v>
      </c>
      <c r="K63" s="11">
        <f>K64+K65</f>
        <v>7866</v>
      </c>
      <c r="L63" s="31">
        <f>L64+L65</f>
        <v>505303</v>
      </c>
      <c r="M63" s="85">
        <f t="shared" ref="M63:N63" si="42">M64+M65</f>
        <v>28011</v>
      </c>
      <c r="N63" s="85">
        <f t="shared" si="42"/>
        <v>533314</v>
      </c>
      <c r="O63" s="11">
        <f>O64+O65</f>
        <v>435231</v>
      </c>
      <c r="P63" s="121">
        <f>SUM(P64:P65)</f>
        <v>458775</v>
      </c>
      <c r="Q63" s="121">
        <f>SUM(Q64:Q65)</f>
        <v>493954</v>
      </c>
      <c r="R63" s="121">
        <f>SUM(R64:R65)</f>
        <v>591108</v>
      </c>
      <c r="S63" s="122">
        <f>SUM(S64:S65)</f>
        <v>681007</v>
      </c>
      <c r="T63" s="122">
        <f>SUM(T64:T65)</f>
        <v>802544</v>
      </c>
      <c r="U63" s="122">
        <f t="shared" ref="U63:Z63" si="43">U64+U65</f>
        <v>15897</v>
      </c>
      <c r="V63" s="122">
        <f t="shared" si="43"/>
        <v>818441</v>
      </c>
      <c r="W63" s="122">
        <f t="shared" si="43"/>
        <v>30430</v>
      </c>
      <c r="X63" s="122">
        <f t="shared" si="43"/>
        <v>848871</v>
      </c>
      <c r="Y63" s="122">
        <f t="shared" si="43"/>
        <v>0</v>
      </c>
      <c r="Z63" s="122">
        <f t="shared" si="43"/>
        <v>848871</v>
      </c>
    </row>
    <row r="64" spans="1:26">
      <c r="A64" s="115">
        <v>61</v>
      </c>
      <c r="B64" s="114"/>
      <c r="C64" s="3" t="s">
        <v>46</v>
      </c>
      <c r="D64" s="3"/>
      <c r="E64" s="7"/>
      <c r="F64" s="9">
        <v>0</v>
      </c>
      <c r="G64" s="9">
        <v>4812</v>
      </c>
      <c r="H64" s="9"/>
      <c r="I64" s="9">
        <v>9078</v>
      </c>
      <c r="J64" s="9">
        <f t="shared" si="29"/>
        <v>9078</v>
      </c>
      <c r="K64" s="9">
        <f>+L64-J64</f>
        <v>0</v>
      </c>
      <c r="L64" s="29">
        <v>9078</v>
      </c>
      <c r="M64" s="49">
        <v>0</v>
      </c>
      <c r="N64" s="106">
        <v>9078</v>
      </c>
      <c r="O64" s="3"/>
      <c r="P64" s="9">
        <v>0</v>
      </c>
      <c r="Q64" s="9">
        <v>0</v>
      </c>
      <c r="R64" s="9">
        <v>0</v>
      </c>
      <c r="S64" s="565">
        <v>0</v>
      </c>
      <c r="T64" s="565">
        <v>0</v>
      </c>
      <c r="U64" s="565">
        <v>15897</v>
      </c>
      <c r="V64" s="565">
        <f t="shared" ref="V64:V65" si="44">T64+U64</f>
        <v>15897</v>
      </c>
      <c r="W64" s="565">
        <v>0</v>
      </c>
      <c r="X64" s="565">
        <f t="shared" ref="X64:X65" si="45">V64+W64</f>
        <v>15897</v>
      </c>
      <c r="Y64" s="565">
        <v>0</v>
      </c>
      <c r="Z64" s="565">
        <f t="shared" ref="Z64:Z65" si="46">X64+Y64</f>
        <v>15897</v>
      </c>
    </row>
    <row r="65" spans="1:26">
      <c r="A65" s="24">
        <v>62</v>
      </c>
      <c r="B65" s="114"/>
      <c r="C65" s="3" t="s">
        <v>50</v>
      </c>
      <c r="D65" s="3"/>
      <c r="E65" s="7"/>
      <c r="F65" s="9">
        <v>412105</v>
      </c>
      <c r="G65" s="9">
        <v>450539</v>
      </c>
      <c r="H65" s="9">
        <v>488359</v>
      </c>
      <c r="I65" s="9">
        <v>0</v>
      </c>
      <c r="J65" s="9">
        <f t="shared" si="29"/>
        <v>488359</v>
      </c>
      <c r="K65" s="9">
        <v>7866</v>
      </c>
      <c r="L65" s="29">
        <f>J65+K65</f>
        <v>496225</v>
      </c>
      <c r="M65" s="10">
        <f>19011+9000</f>
        <v>28011</v>
      </c>
      <c r="N65" s="27">
        <f>L65+M65</f>
        <v>524236</v>
      </c>
      <c r="O65" s="9">
        <v>435231</v>
      </c>
      <c r="P65" s="9">
        <v>458775</v>
      </c>
      <c r="Q65" s="9">
        <v>493954</v>
      </c>
      <c r="R65" s="9">
        <v>591108</v>
      </c>
      <c r="S65" s="565">
        <v>681007</v>
      </c>
      <c r="T65" s="565">
        <v>802544</v>
      </c>
      <c r="U65" s="565">
        <v>0</v>
      </c>
      <c r="V65" s="565">
        <f t="shared" si="44"/>
        <v>802544</v>
      </c>
      <c r="W65" s="565">
        <v>30430</v>
      </c>
      <c r="X65" s="565">
        <f t="shared" si="45"/>
        <v>832974</v>
      </c>
      <c r="Y65" s="565">
        <v>0</v>
      </c>
      <c r="Z65" s="565">
        <f t="shared" si="46"/>
        <v>832974</v>
      </c>
    </row>
    <row r="66" spans="1:26">
      <c r="A66" s="115">
        <v>63</v>
      </c>
      <c r="B66" s="113" t="s">
        <v>19</v>
      </c>
      <c r="C66" s="16"/>
      <c r="D66" s="16"/>
      <c r="E66" s="17"/>
      <c r="F66" s="11">
        <f>F63+F58+F40</f>
        <v>412605</v>
      </c>
      <c r="G66" s="11">
        <f>G63+G58+G40</f>
        <v>468218</v>
      </c>
      <c r="H66" s="11" t="e">
        <f>H63+H58+H40</f>
        <v>#REF!</v>
      </c>
      <c r="I66" s="11">
        <f>I63+I58+I40</f>
        <v>14359</v>
      </c>
      <c r="J66" s="11" t="e">
        <f>J63+J58+J40</f>
        <v>#REF!</v>
      </c>
      <c r="K66" s="11">
        <f>K40+K63</f>
        <v>7985</v>
      </c>
      <c r="L66" s="31">
        <f>+L63+L40</f>
        <v>515703</v>
      </c>
      <c r="M66" s="85">
        <f>+M63+M40</f>
        <v>37963</v>
      </c>
      <c r="N66" s="85">
        <f>+N63+N40</f>
        <v>553666</v>
      </c>
      <c r="O66" s="11">
        <f>O63+O40</f>
        <v>440231</v>
      </c>
      <c r="P66" s="121">
        <f>SUM(P63,P58,P40)</f>
        <v>463775</v>
      </c>
      <c r="Q66" s="121">
        <f>SUM(Q63,Q58,Q40)</f>
        <v>498954</v>
      </c>
      <c r="R66" s="121">
        <f>SUM(R63,R58,R40)</f>
        <v>618701</v>
      </c>
      <c r="S66" s="122">
        <f>SUM(S63,S58,S40)</f>
        <v>699354</v>
      </c>
      <c r="T66" s="122">
        <f>SUM(T63,T58,T40)</f>
        <v>821463</v>
      </c>
      <c r="U66" s="122">
        <f t="shared" ref="U66:Z66" si="47">SUM(U63,U58,U40)</f>
        <v>18191</v>
      </c>
      <c r="V66" s="122">
        <f t="shared" si="47"/>
        <v>839654</v>
      </c>
      <c r="W66" s="122">
        <f t="shared" si="47"/>
        <v>35067</v>
      </c>
      <c r="X66" s="122">
        <f t="shared" si="47"/>
        <v>874721</v>
      </c>
      <c r="Y66" s="122">
        <f t="shared" si="47"/>
        <v>0</v>
      </c>
      <c r="Z66" s="122">
        <f t="shared" si="47"/>
        <v>874721</v>
      </c>
    </row>
    <row r="67" spans="1:26" ht="78" customHeight="1">
      <c r="A67" s="115">
        <v>64</v>
      </c>
      <c r="B67" s="113" t="s">
        <v>21</v>
      </c>
      <c r="C67" s="16"/>
      <c r="D67" s="16"/>
      <c r="E67" s="16"/>
      <c r="F67" s="15" t="s">
        <v>107</v>
      </c>
      <c r="G67" s="6" t="s">
        <v>113</v>
      </c>
      <c r="H67" s="6" t="s">
        <v>112</v>
      </c>
      <c r="I67" s="24" t="s">
        <v>111</v>
      </c>
      <c r="J67" s="6" t="s">
        <v>115</v>
      </c>
      <c r="K67" s="24" t="s">
        <v>111</v>
      </c>
      <c r="L67" s="76" t="s">
        <v>255</v>
      </c>
      <c r="M67" s="86" t="s">
        <v>111</v>
      </c>
      <c r="N67" s="76" t="s">
        <v>260</v>
      </c>
      <c r="O67" s="6" t="str">
        <f>$O$4</f>
        <v>Előirányzat
4/2020. (III.05.) önkormányzati rendelet</v>
      </c>
      <c r="P67" s="6" t="s">
        <v>460</v>
      </c>
      <c r="Q67" s="6" t="str">
        <f>Q$4</f>
        <v>Előirányzat
3/2022. (II.10.) önkormányzati rendelet</v>
      </c>
      <c r="R67" s="6" t="str">
        <f>R$4</f>
        <v>Előirányzat
1./2023. (II.23.) önkormányzati rendelet</v>
      </c>
      <c r="S67" s="562" t="str">
        <f>S$4</f>
        <v>Előirányzat
1./2024. (II)22. önkormányzati rendelet</v>
      </c>
      <c r="T67" s="562" t="str">
        <f>T$4</f>
        <v>Előirányzat
2/2025. (II.20.) önkormányzati rendelet</v>
      </c>
      <c r="U67" s="562" t="s">
        <v>111</v>
      </c>
      <c r="V67" s="562" t="str">
        <f>V4</f>
        <v>Előirányzat 13/2025. (VI.26.) önkormányzati rendelet</v>
      </c>
      <c r="W67" s="562" t="s">
        <v>111</v>
      </c>
      <c r="X67" s="562" t="str">
        <f>X4</f>
        <v>Előirányzat 16/2025. (IX.25.) önkormányzati rendelet</v>
      </c>
      <c r="Y67" s="562" t="s">
        <v>111</v>
      </c>
      <c r="Z67" s="562" t="str">
        <f>Z4</f>
        <v>Módosított előirányzat</v>
      </c>
    </row>
    <row r="68" spans="1:26">
      <c r="A68" s="24">
        <v>65</v>
      </c>
      <c r="B68" s="113" t="s">
        <v>25</v>
      </c>
      <c r="C68" s="3"/>
      <c r="D68" s="3"/>
      <c r="E68" s="7"/>
      <c r="F68" s="9"/>
      <c r="G68" s="3"/>
      <c r="H68" s="9"/>
      <c r="I68" s="3"/>
      <c r="J68" s="3"/>
      <c r="K68" s="3"/>
      <c r="L68" s="26"/>
      <c r="M68" s="49"/>
      <c r="N68" s="106"/>
      <c r="O68" s="9"/>
      <c r="P68" s="9"/>
      <c r="Q68" s="9"/>
      <c r="R68" s="9"/>
      <c r="S68" s="565"/>
      <c r="T68" s="565"/>
      <c r="U68" s="565"/>
      <c r="V68" s="565"/>
      <c r="W68" s="565"/>
      <c r="X68" s="565"/>
      <c r="Y68" s="565"/>
      <c r="Z68" s="565"/>
    </row>
    <row r="69" spans="1:26">
      <c r="A69" s="115">
        <v>66</v>
      </c>
      <c r="B69" s="113"/>
      <c r="C69" s="3" t="s">
        <v>26</v>
      </c>
      <c r="D69" s="3"/>
      <c r="E69" s="7"/>
      <c r="F69" s="9"/>
      <c r="G69" s="3"/>
      <c r="H69" s="9"/>
      <c r="I69" s="3"/>
      <c r="J69" s="3"/>
      <c r="K69" s="3"/>
      <c r="L69" s="26"/>
      <c r="M69" s="49"/>
      <c r="N69" s="106"/>
      <c r="O69" s="9"/>
      <c r="P69" s="9"/>
      <c r="Q69" s="9"/>
      <c r="R69" s="9"/>
      <c r="S69" s="565"/>
      <c r="T69" s="565"/>
      <c r="U69" s="565"/>
      <c r="V69" s="565"/>
      <c r="W69" s="565"/>
      <c r="X69" s="565"/>
      <c r="Y69" s="565"/>
      <c r="Z69" s="565"/>
    </row>
    <row r="70" spans="1:26">
      <c r="A70" s="115">
        <v>67</v>
      </c>
      <c r="B70" s="113" t="s">
        <v>28</v>
      </c>
      <c r="C70" s="16"/>
      <c r="D70" s="16"/>
      <c r="E70" s="16"/>
      <c r="F70" s="11">
        <v>0</v>
      </c>
      <c r="G70" s="11">
        <v>3548</v>
      </c>
      <c r="H70" s="11">
        <v>0</v>
      </c>
      <c r="I70" s="16">
        <v>800</v>
      </c>
      <c r="J70" s="16">
        <v>800</v>
      </c>
      <c r="K70" s="1">
        <v>500</v>
      </c>
      <c r="L70" s="79">
        <f>K70+J70</f>
        <v>1300</v>
      </c>
      <c r="M70" s="87">
        <v>0</v>
      </c>
      <c r="N70" s="85">
        <v>1300</v>
      </c>
      <c r="O70" s="11">
        <f t="shared" ref="O70:Z70" si="48">SUM(O71,O81,O82,O83)</f>
        <v>0</v>
      </c>
      <c r="P70" s="121">
        <f t="shared" si="48"/>
        <v>0</v>
      </c>
      <c r="Q70" s="121">
        <f t="shared" si="48"/>
        <v>0</v>
      </c>
      <c r="R70" s="121">
        <f t="shared" si="48"/>
        <v>0</v>
      </c>
      <c r="S70" s="122">
        <f t="shared" si="48"/>
        <v>0</v>
      </c>
      <c r="T70" s="122">
        <f t="shared" si="48"/>
        <v>0</v>
      </c>
      <c r="U70" s="122">
        <f t="shared" si="48"/>
        <v>787</v>
      </c>
      <c r="V70" s="122">
        <f t="shared" si="48"/>
        <v>787</v>
      </c>
      <c r="W70" s="122">
        <f t="shared" si="48"/>
        <v>1886</v>
      </c>
      <c r="X70" s="122">
        <f t="shared" si="48"/>
        <v>2673</v>
      </c>
      <c r="Y70" s="122">
        <f t="shared" si="48"/>
        <v>462</v>
      </c>
      <c r="Z70" s="122">
        <f t="shared" si="48"/>
        <v>3135</v>
      </c>
    </row>
    <row r="71" spans="1:26">
      <c r="A71" s="24">
        <v>68</v>
      </c>
      <c r="B71" s="114"/>
      <c r="C71" s="3" t="s">
        <v>29</v>
      </c>
      <c r="D71" s="3"/>
      <c r="E71" s="7"/>
      <c r="F71" s="9">
        <v>0</v>
      </c>
      <c r="G71" s="9">
        <v>3547</v>
      </c>
      <c r="H71" s="9">
        <v>0</v>
      </c>
      <c r="I71" s="3">
        <v>800</v>
      </c>
      <c r="J71" s="9">
        <v>800</v>
      </c>
      <c r="K71" s="3">
        <v>500</v>
      </c>
      <c r="L71" s="26">
        <v>1300</v>
      </c>
      <c r="M71" s="49">
        <v>0</v>
      </c>
      <c r="N71" s="27">
        <v>1300</v>
      </c>
      <c r="O71" s="9">
        <v>0</v>
      </c>
      <c r="P71" s="135">
        <f>SUM(P72,P79:P80)</f>
        <v>0</v>
      </c>
      <c r="Q71" s="135">
        <f>SUM(Q72,Q79:Q80)</f>
        <v>0</v>
      </c>
      <c r="R71" s="135">
        <f>SUM(R72,R79:R80)</f>
        <v>0</v>
      </c>
      <c r="S71" s="570">
        <f>SUM(S72,S79:S80)</f>
        <v>0</v>
      </c>
      <c r="T71" s="570">
        <f>SUM(T72,T79:T80)</f>
        <v>0</v>
      </c>
      <c r="U71" s="570">
        <f t="shared" ref="U71:W71" si="49">SUM(U72,U79:U80)</f>
        <v>725</v>
      </c>
      <c r="V71" s="570">
        <f>T71+U71</f>
        <v>725</v>
      </c>
      <c r="W71" s="570">
        <f t="shared" si="49"/>
        <v>465</v>
      </c>
      <c r="X71" s="570">
        <f>V71+W71</f>
        <v>1190</v>
      </c>
      <c r="Y71" s="570">
        <f t="shared" ref="Y71" si="50">SUM(Y72,Y79:Y80)</f>
        <v>462</v>
      </c>
      <c r="Z71" s="570">
        <f>X71+Y71</f>
        <v>1652</v>
      </c>
    </row>
    <row r="72" spans="1:26">
      <c r="A72" s="115">
        <v>69</v>
      </c>
      <c r="B72" s="114"/>
      <c r="C72" s="3"/>
      <c r="D72" s="3" t="s">
        <v>36</v>
      </c>
      <c r="E72" s="7"/>
      <c r="F72" s="9">
        <v>0</v>
      </c>
      <c r="G72" s="12">
        <v>1</v>
      </c>
      <c r="H72" s="9">
        <v>0</v>
      </c>
      <c r="I72" s="3">
        <v>0</v>
      </c>
      <c r="J72" s="9">
        <f>H72+I72</f>
        <v>0</v>
      </c>
      <c r="K72" s="3">
        <v>0</v>
      </c>
      <c r="L72" s="26">
        <v>0</v>
      </c>
      <c r="M72" s="49">
        <v>0</v>
      </c>
      <c r="N72" s="106">
        <v>0</v>
      </c>
      <c r="O72" s="9">
        <v>0</v>
      </c>
      <c r="P72" s="110">
        <f t="shared" ref="P72:T72" si="51">SUM(P73:P78)</f>
        <v>0</v>
      </c>
      <c r="Q72" s="110">
        <f t="shared" si="51"/>
        <v>0</v>
      </c>
      <c r="R72" s="110">
        <f t="shared" si="51"/>
        <v>0</v>
      </c>
      <c r="S72" s="564">
        <f t="shared" si="51"/>
        <v>0</v>
      </c>
      <c r="T72" s="564">
        <f t="shared" si="51"/>
        <v>0</v>
      </c>
      <c r="U72" s="564">
        <f>SUM(U73:U78)</f>
        <v>0</v>
      </c>
      <c r="V72" s="564">
        <f>SUM(T72:U72)</f>
        <v>0</v>
      </c>
      <c r="W72" s="564">
        <f>SUM(W73:W78)</f>
        <v>0</v>
      </c>
      <c r="X72" s="564">
        <f>SUM(V72:W72)</f>
        <v>0</v>
      </c>
      <c r="Y72" s="564">
        <f>SUM(Y73:Y78)</f>
        <v>0</v>
      </c>
      <c r="Z72" s="564">
        <f>SUM(X72:Y72)</f>
        <v>0</v>
      </c>
    </row>
    <row r="73" spans="1:26">
      <c r="A73" s="115">
        <v>70</v>
      </c>
      <c r="B73" s="114"/>
      <c r="C73" s="3"/>
      <c r="D73" s="3"/>
      <c r="E73" s="18" t="s">
        <v>30</v>
      </c>
      <c r="F73" s="9">
        <v>0</v>
      </c>
      <c r="G73" s="12">
        <v>0</v>
      </c>
      <c r="H73" s="9">
        <v>0</v>
      </c>
      <c r="I73" s="3">
        <v>0</v>
      </c>
      <c r="J73" s="9">
        <f t="shared" ref="J73:J94" si="52">H73+I73</f>
        <v>0</v>
      </c>
      <c r="K73" s="3">
        <v>0</v>
      </c>
      <c r="L73" s="26">
        <v>0</v>
      </c>
      <c r="M73" s="49">
        <v>0</v>
      </c>
      <c r="N73" s="106">
        <v>0</v>
      </c>
      <c r="O73" s="9">
        <v>0</v>
      </c>
      <c r="P73" s="9">
        <v>0</v>
      </c>
      <c r="Q73" s="9">
        <v>0</v>
      </c>
      <c r="R73" s="9">
        <v>0</v>
      </c>
      <c r="S73" s="565">
        <v>0</v>
      </c>
      <c r="T73" s="565">
        <v>0</v>
      </c>
      <c r="U73" s="565">
        <v>0</v>
      </c>
      <c r="V73" s="565">
        <f t="shared" ref="V73:V82" si="53">T73+U73</f>
        <v>0</v>
      </c>
      <c r="W73" s="565">
        <v>0</v>
      </c>
      <c r="X73" s="565">
        <f t="shared" ref="X73:X82" si="54">V73+W73</f>
        <v>0</v>
      </c>
      <c r="Y73" s="565">
        <v>0</v>
      </c>
      <c r="Z73" s="565">
        <f t="shared" ref="Z73:Z82" si="55">X73+Y73</f>
        <v>0</v>
      </c>
    </row>
    <row r="74" spans="1:26">
      <c r="A74" s="24">
        <v>71</v>
      </c>
      <c r="B74" s="114"/>
      <c r="C74" s="3"/>
      <c r="D74" s="3"/>
      <c r="E74" s="18" t="s">
        <v>31</v>
      </c>
      <c r="F74" s="9">
        <v>0</v>
      </c>
      <c r="G74" s="12">
        <v>0</v>
      </c>
      <c r="H74" s="9">
        <v>0</v>
      </c>
      <c r="I74" s="3">
        <v>0</v>
      </c>
      <c r="J74" s="9">
        <f t="shared" si="52"/>
        <v>0</v>
      </c>
      <c r="K74" s="3">
        <v>0</v>
      </c>
      <c r="L74" s="26">
        <v>0</v>
      </c>
      <c r="M74" s="49">
        <v>0</v>
      </c>
      <c r="N74" s="106">
        <v>0</v>
      </c>
      <c r="O74" s="9">
        <v>0</v>
      </c>
      <c r="P74" s="9">
        <v>0</v>
      </c>
      <c r="Q74" s="9">
        <v>0</v>
      </c>
      <c r="R74" s="9">
        <v>0</v>
      </c>
      <c r="S74" s="565">
        <v>0</v>
      </c>
      <c r="T74" s="565">
        <v>0</v>
      </c>
      <c r="U74" s="565">
        <v>0</v>
      </c>
      <c r="V74" s="565">
        <f t="shared" si="53"/>
        <v>0</v>
      </c>
      <c r="W74" s="565">
        <v>0</v>
      </c>
      <c r="X74" s="565">
        <f t="shared" si="54"/>
        <v>0</v>
      </c>
      <c r="Y74" s="565">
        <v>0</v>
      </c>
      <c r="Z74" s="565">
        <f t="shared" si="55"/>
        <v>0</v>
      </c>
    </row>
    <row r="75" spans="1:26" ht="30">
      <c r="A75" s="115">
        <v>72</v>
      </c>
      <c r="B75" s="114"/>
      <c r="C75" s="3"/>
      <c r="D75" s="3"/>
      <c r="E75" s="20" t="s">
        <v>32</v>
      </c>
      <c r="F75" s="9">
        <v>0</v>
      </c>
      <c r="G75" s="12">
        <v>0</v>
      </c>
      <c r="H75" s="9">
        <v>0</v>
      </c>
      <c r="I75" s="3">
        <v>0</v>
      </c>
      <c r="J75" s="9">
        <f t="shared" si="52"/>
        <v>0</v>
      </c>
      <c r="K75" s="3">
        <v>0</v>
      </c>
      <c r="L75" s="26">
        <v>0</v>
      </c>
      <c r="M75" s="49">
        <v>0</v>
      </c>
      <c r="N75" s="106">
        <v>0</v>
      </c>
      <c r="O75" s="9">
        <v>0</v>
      </c>
      <c r="P75" s="9">
        <v>0</v>
      </c>
      <c r="Q75" s="9">
        <v>0</v>
      </c>
      <c r="R75" s="9">
        <v>0</v>
      </c>
      <c r="S75" s="565">
        <v>0</v>
      </c>
      <c r="T75" s="565">
        <v>0</v>
      </c>
      <c r="U75" s="565">
        <v>0</v>
      </c>
      <c r="V75" s="565">
        <f t="shared" si="53"/>
        <v>0</v>
      </c>
      <c r="W75" s="565">
        <v>0</v>
      </c>
      <c r="X75" s="565">
        <f t="shared" si="54"/>
        <v>0</v>
      </c>
      <c r="Y75" s="565">
        <v>0</v>
      </c>
      <c r="Z75" s="565">
        <f t="shared" si="55"/>
        <v>0</v>
      </c>
    </row>
    <row r="76" spans="1:26">
      <c r="A76" s="115">
        <v>73</v>
      </c>
      <c r="B76" s="114"/>
      <c r="C76" s="3"/>
      <c r="D76" s="3"/>
      <c r="E76" s="20" t="s">
        <v>33</v>
      </c>
      <c r="F76" s="9">
        <v>0</v>
      </c>
      <c r="G76" s="12">
        <v>0</v>
      </c>
      <c r="H76" s="9">
        <v>0</v>
      </c>
      <c r="I76" s="3">
        <v>0</v>
      </c>
      <c r="J76" s="9">
        <f t="shared" si="52"/>
        <v>0</v>
      </c>
      <c r="K76" s="3">
        <v>0</v>
      </c>
      <c r="L76" s="26">
        <v>0</v>
      </c>
      <c r="M76" s="49">
        <v>0</v>
      </c>
      <c r="N76" s="106">
        <v>0</v>
      </c>
      <c r="O76" s="9">
        <v>0</v>
      </c>
      <c r="P76" s="9">
        <v>0</v>
      </c>
      <c r="Q76" s="9">
        <v>0</v>
      </c>
      <c r="R76" s="9">
        <v>0</v>
      </c>
      <c r="S76" s="565">
        <v>0</v>
      </c>
      <c r="T76" s="565">
        <v>0</v>
      </c>
      <c r="U76" s="565">
        <v>0</v>
      </c>
      <c r="V76" s="565">
        <f t="shared" si="53"/>
        <v>0</v>
      </c>
      <c r="W76" s="565">
        <v>0</v>
      </c>
      <c r="X76" s="565">
        <f t="shared" si="54"/>
        <v>0</v>
      </c>
      <c r="Y76" s="565">
        <v>0</v>
      </c>
      <c r="Z76" s="565">
        <f t="shared" si="55"/>
        <v>0</v>
      </c>
    </row>
    <row r="77" spans="1:26">
      <c r="A77" s="24">
        <v>74</v>
      </c>
      <c r="B77" s="114"/>
      <c r="C77" s="3"/>
      <c r="D77" s="3"/>
      <c r="E77" s="20" t="s">
        <v>34</v>
      </c>
      <c r="F77" s="9">
        <v>0</v>
      </c>
      <c r="G77" s="12">
        <v>0</v>
      </c>
      <c r="H77" s="9">
        <v>0</v>
      </c>
      <c r="I77" s="3">
        <v>0</v>
      </c>
      <c r="J77" s="9">
        <f t="shared" si="52"/>
        <v>0</v>
      </c>
      <c r="K77" s="3">
        <v>0</v>
      </c>
      <c r="L77" s="26">
        <v>0</v>
      </c>
      <c r="M77" s="49">
        <v>0</v>
      </c>
      <c r="N77" s="106">
        <v>0</v>
      </c>
      <c r="O77" s="9">
        <v>0</v>
      </c>
      <c r="P77" s="9">
        <v>0</v>
      </c>
      <c r="Q77" s="9">
        <v>0</v>
      </c>
      <c r="R77" s="9">
        <v>0</v>
      </c>
      <c r="S77" s="565">
        <v>0</v>
      </c>
      <c r="T77" s="565">
        <v>0</v>
      </c>
      <c r="U77" s="565">
        <v>0</v>
      </c>
      <c r="V77" s="565">
        <f t="shared" si="53"/>
        <v>0</v>
      </c>
      <c r="W77" s="565">
        <v>0</v>
      </c>
      <c r="X77" s="565">
        <f t="shared" si="54"/>
        <v>0</v>
      </c>
      <c r="Y77" s="565">
        <v>0</v>
      </c>
      <c r="Z77" s="565">
        <f t="shared" si="55"/>
        <v>0</v>
      </c>
    </row>
    <row r="78" spans="1:26">
      <c r="A78" s="115">
        <v>75</v>
      </c>
      <c r="B78" s="114"/>
      <c r="C78" s="3"/>
      <c r="D78" s="3"/>
      <c r="E78" s="20" t="s">
        <v>35</v>
      </c>
      <c r="F78" s="9">
        <v>0</v>
      </c>
      <c r="G78" s="12">
        <v>0</v>
      </c>
      <c r="H78" s="9">
        <v>0</v>
      </c>
      <c r="I78" s="3">
        <v>0</v>
      </c>
      <c r="J78" s="9">
        <f t="shared" si="52"/>
        <v>0</v>
      </c>
      <c r="K78" s="3">
        <v>0</v>
      </c>
      <c r="L78" s="26">
        <v>0</v>
      </c>
      <c r="M78" s="49">
        <v>0</v>
      </c>
      <c r="N78" s="106">
        <v>0</v>
      </c>
      <c r="O78" s="9">
        <v>0</v>
      </c>
      <c r="P78" s="9">
        <v>0</v>
      </c>
      <c r="Q78" s="9">
        <v>0</v>
      </c>
      <c r="R78" s="9">
        <v>0</v>
      </c>
      <c r="S78" s="565">
        <v>0</v>
      </c>
      <c r="T78" s="565">
        <v>0</v>
      </c>
      <c r="U78" s="565">
        <v>0</v>
      </c>
      <c r="V78" s="565">
        <f t="shared" si="53"/>
        <v>0</v>
      </c>
      <c r="W78" s="565">
        <v>0</v>
      </c>
      <c r="X78" s="565">
        <f t="shared" si="54"/>
        <v>0</v>
      </c>
      <c r="Y78" s="565">
        <v>0</v>
      </c>
      <c r="Z78" s="565">
        <f t="shared" si="55"/>
        <v>0</v>
      </c>
    </row>
    <row r="79" spans="1:26">
      <c r="A79" s="115">
        <v>76</v>
      </c>
      <c r="B79" s="114"/>
      <c r="C79" s="3"/>
      <c r="D79" s="3" t="s">
        <v>47</v>
      </c>
      <c r="E79" s="21"/>
      <c r="F79" s="9">
        <v>0</v>
      </c>
      <c r="G79" s="12">
        <v>0</v>
      </c>
      <c r="H79" s="9">
        <v>0</v>
      </c>
      <c r="I79" s="3">
        <v>0</v>
      </c>
      <c r="J79" s="9">
        <f t="shared" si="52"/>
        <v>0</v>
      </c>
      <c r="K79" s="3">
        <v>0</v>
      </c>
      <c r="L79" s="26">
        <v>0</v>
      </c>
      <c r="M79" s="49">
        <v>0</v>
      </c>
      <c r="N79" s="106">
        <v>0</v>
      </c>
      <c r="O79" s="9">
        <v>0</v>
      </c>
      <c r="P79" s="9">
        <v>0</v>
      </c>
      <c r="Q79" s="9">
        <v>0</v>
      </c>
      <c r="R79" s="9">
        <v>0</v>
      </c>
      <c r="S79" s="565">
        <v>0</v>
      </c>
      <c r="T79" s="565">
        <v>0</v>
      </c>
      <c r="U79" s="565">
        <v>0</v>
      </c>
      <c r="V79" s="565">
        <f t="shared" si="53"/>
        <v>0</v>
      </c>
      <c r="W79" s="565">
        <v>0</v>
      </c>
      <c r="X79" s="565">
        <f t="shared" si="54"/>
        <v>0</v>
      </c>
      <c r="Y79" s="565">
        <v>0</v>
      </c>
      <c r="Z79" s="565">
        <f t="shared" si="55"/>
        <v>0</v>
      </c>
    </row>
    <row r="80" spans="1:26">
      <c r="A80" s="24">
        <v>77</v>
      </c>
      <c r="B80" s="114"/>
      <c r="C80" s="3"/>
      <c r="D80" s="3" t="s">
        <v>37</v>
      </c>
      <c r="E80" s="21"/>
      <c r="F80" s="9">
        <v>0</v>
      </c>
      <c r="G80" s="9">
        <v>3547</v>
      </c>
      <c r="H80" s="9">
        <v>0</v>
      </c>
      <c r="I80" s="3">
        <v>800</v>
      </c>
      <c r="J80" s="9">
        <f t="shared" si="52"/>
        <v>800</v>
      </c>
      <c r="K80" s="3">
        <v>500</v>
      </c>
      <c r="L80" s="29">
        <f>K80+J80</f>
        <v>1300</v>
      </c>
      <c r="M80" s="49">
        <v>0</v>
      </c>
      <c r="N80" s="106">
        <v>1300</v>
      </c>
      <c r="O80" s="9">
        <v>0</v>
      </c>
      <c r="P80" s="9">
        <v>0</v>
      </c>
      <c r="Q80" s="9">
        <v>0</v>
      </c>
      <c r="R80" s="9">
        <v>0</v>
      </c>
      <c r="S80" s="565">
        <v>0</v>
      </c>
      <c r="T80" s="565">
        <v>0</v>
      </c>
      <c r="U80" s="565">
        <v>725</v>
      </c>
      <c r="V80" s="565">
        <f t="shared" si="53"/>
        <v>725</v>
      </c>
      <c r="W80" s="565">
        <v>465</v>
      </c>
      <c r="X80" s="565">
        <f t="shared" si="54"/>
        <v>1190</v>
      </c>
      <c r="Y80" s="565">
        <v>462</v>
      </c>
      <c r="Z80" s="565">
        <f t="shared" si="55"/>
        <v>1652</v>
      </c>
    </row>
    <row r="81" spans="1:26">
      <c r="A81" s="115">
        <v>78</v>
      </c>
      <c r="B81" s="114"/>
      <c r="C81" s="3" t="s">
        <v>38</v>
      </c>
      <c r="D81" s="3"/>
      <c r="E81" s="21"/>
      <c r="F81" s="9">
        <v>0</v>
      </c>
      <c r="G81" s="12">
        <v>0</v>
      </c>
      <c r="H81" s="9">
        <v>0</v>
      </c>
      <c r="I81" s="3">
        <v>0</v>
      </c>
      <c r="J81" s="9">
        <f t="shared" si="52"/>
        <v>0</v>
      </c>
      <c r="K81" s="3">
        <v>0</v>
      </c>
      <c r="L81" s="26">
        <v>0</v>
      </c>
      <c r="M81" s="49">
        <v>0</v>
      </c>
      <c r="N81" s="106">
        <v>0</v>
      </c>
      <c r="O81" s="9">
        <v>0</v>
      </c>
      <c r="P81" s="9">
        <v>0</v>
      </c>
      <c r="Q81" s="9">
        <v>0</v>
      </c>
      <c r="R81" s="9">
        <v>0</v>
      </c>
      <c r="S81" s="565">
        <v>0</v>
      </c>
      <c r="T81" s="565">
        <v>0</v>
      </c>
      <c r="U81" s="565">
        <v>62</v>
      </c>
      <c r="V81" s="565">
        <f t="shared" si="53"/>
        <v>62</v>
      </c>
      <c r="W81" s="565">
        <v>1421</v>
      </c>
      <c r="X81" s="565">
        <f t="shared" si="54"/>
        <v>1483</v>
      </c>
      <c r="Y81" s="565">
        <v>0</v>
      </c>
      <c r="Z81" s="565">
        <f t="shared" si="55"/>
        <v>1483</v>
      </c>
    </row>
    <row r="82" spans="1:26">
      <c r="A82" s="115">
        <v>79</v>
      </c>
      <c r="B82" s="114"/>
      <c r="C82" s="3" t="s">
        <v>39</v>
      </c>
      <c r="D82" s="3"/>
      <c r="E82" s="21"/>
      <c r="F82" s="9">
        <v>0</v>
      </c>
      <c r="G82" s="12">
        <v>0</v>
      </c>
      <c r="H82" s="9">
        <v>0</v>
      </c>
      <c r="I82" s="3">
        <v>0</v>
      </c>
      <c r="J82" s="9">
        <f t="shared" si="52"/>
        <v>0</v>
      </c>
      <c r="K82" s="3">
        <v>0</v>
      </c>
      <c r="L82" s="26">
        <v>0</v>
      </c>
      <c r="M82" s="49">
        <v>0</v>
      </c>
      <c r="N82" s="106">
        <v>0</v>
      </c>
      <c r="O82" s="9">
        <v>0</v>
      </c>
      <c r="P82" s="9">
        <v>0</v>
      </c>
      <c r="Q82" s="9">
        <v>0</v>
      </c>
      <c r="R82" s="9">
        <v>0</v>
      </c>
      <c r="S82" s="565">
        <v>0</v>
      </c>
      <c r="T82" s="565">
        <v>0</v>
      </c>
      <c r="U82" s="565">
        <v>0</v>
      </c>
      <c r="V82" s="565">
        <f t="shared" si="53"/>
        <v>0</v>
      </c>
      <c r="W82" s="565">
        <v>0</v>
      </c>
      <c r="X82" s="565">
        <f t="shared" si="54"/>
        <v>0</v>
      </c>
      <c r="Y82" s="565">
        <v>0</v>
      </c>
      <c r="Z82" s="565">
        <f t="shared" si="55"/>
        <v>0</v>
      </c>
    </row>
    <row r="83" spans="1:26">
      <c r="A83" s="24">
        <v>80</v>
      </c>
      <c r="B83" s="114"/>
      <c r="C83" s="3" t="s">
        <v>452</v>
      </c>
      <c r="D83" s="3"/>
      <c r="E83" s="21"/>
      <c r="F83" s="9"/>
      <c r="G83" s="3"/>
      <c r="H83" s="9"/>
      <c r="I83" s="9"/>
      <c r="J83" s="9"/>
      <c r="K83" s="9"/>
      <c r="L83" s="29"/>
      <c r="M83" s="49"/>
      <c r="N83" s="106"/>
      <c r="O83" s="9">
        <f t="shared" ref="O83:Z83" si="56">SUM(O84:O87)</f>
        <v>0</v>
      </c>
      <c r="P83" s="135">
        <f t="shared" si="56"/>
        <v>0</v>
      </c>
      <c r="Q83" s="135">
        <f t="shared" si="56"/>
        <v>0</v>
      </c>
      <c r="R83" s="135">
        <f t="shared" si="56"/>
        <v>0</v>
      </c>
      <c r="S83" s="566">
        <f t="shared" si="56"/>
        <v>0</v>
      </c>
      <c r="T83" s="566">
        <f t="shared" si="56"/>
        <v>0</v>
      </c>
      <c r="U83" s="566">
        <f t="shared" si="56"/>
        <v>0</v>
      </c>
      <c r="V83" s="566">
        <f t="shared" si="56"/>
        <v>0</v>
      </c>
      <c r="W83" s="566">
        <f t="shared" si="56"/>
        <v>0</v>
      </c>
      <c r="X83" s="566">
        <f t="shared" si="56"/>
        <v>0</v>
      </c>
      <c r="Y83" s="566">
        <f t="shared" si="56"/>
        <v>0</v>
      </c>
      <c r="Z83" s="566">
        <f t="shared" si="56"/>
        <v>0</v>
      </c>
    </row>
    <row r="84" spans="1:26">
      <c r="A84" s="115">
        <v>81</v>
      </c>
      <c r="B84" s="114"/>
      <c r="C84" s="3"/>
      <c r="D84" s="3" t="s">
        <v>454</v>
      </c>
      <c r="E84" s="21"/>
      <c r="F84" s="9"/>
      <c r="G84" s="3"/>
      <c r="H84" s="9"/>
      <c r="I84" s="9"/>
      <c r="J84" s="9"/>
      <c r="K84" s="9"/>
      <c r="L84" s="29"/>
      <c r="M84" s="49"/>
      <c r="N84" s="106"/>
      <c r="O84" s="9">
        <v>0</v>
      </c>
      <c r="P84" s="9">
        <v>0</v>
      </c>
      <c r="Q84" s="9">
        <v>0</v>
      </c>
      <c r="R84" s="9">
        <v>0</v>
      </c>
      <c r="S84" s="565">
        <v>0</v>
      </c>
      <c r="T84" s="565">
        <v>0</v>
      </c>
      <c r="U84" s="565">
        <v>0</v>
      </c>
      <c r="V84" s="565">
        <v>0</v>
      </c>
      <c r="W84" s="565">
        <v>0</v>
      </c>
      <c r="X84" s="565">
        <v>0</v>
      </c>
      <c r="Y84" s="565">
        <v>0</v>
      </c>
      <c r="Z84" s="565">
        <v>0</v>
      </c>
    </row>
    <row r="85" spans="1:26">
      <c r="A85" s="115">
        <v>82</v>
      </c>
      <c r="B85" s="114"/>
      <c r="C85" s="3"/>
      <c r="D85" s="3" t="s">
        <v>453</v>
      </c>
      <c r="E85" s="21"/>
      <c r="F85" s="9"/>
      <c r="G85" s="3"/>
      <c r="H85" s="9"/>
      <c r="I85" s="9"/>
      <c r="J85" s="9"/>
      <c r="K85" s="9"/>
      <c r="L85" s="29"/>
      <c r="M85" s="49"/>
      <c r="N85" s="106"/>
      <c r="O85" s="9">
        <v>0</v>
      </c>
      <c r="P85" s="9">
        <v>0</v>
      </c>
      <c r="Q85" s="9">
        <v>0</v>
      </c>
      <c r="R85" s="9">
        <v>0</v>
      </c>
      <c r="S85" s="565">
        <v>0</v>
      </c>
      <c r="T85" s="565">
        <v>0</v>
      </c>
      <c r="U85" s="565">
        <v>0</v>
      </c>
      <c r="V85" s="565">
        <v>0</v>
      </c>
      <c r="W85" s="565">
        <v>0</v>
      </c>
      <c r="X85" s="565">
        <v>0</v>
      </c>
      <c r="Y85" s="565">
        <v>0</v>
      </c>
      <c r="Z85" s="565">
        <v>0</v>
      </c>
    </row>
    <row r="86" spans="1:26">
      <c r="A86" s="24">
        <v>83</v>
      </c>
      <c r="B86" s="114"/>
      <c r="C86" s="3"/>
      <c r="D86" s="3" t="s">
        <v>455</v>
      </c>
      <c r="E86" s="21"/>
      <c r="F86" s="9"/>
      <c r="G86" s="3"/>
      <c r="H86" s="9"/>
      <c r="I86" s="9"/>
      <c r="J86" s="9"/>
      <c r="K86" s="9"/>
      <c r="L86" s="29"/>
      <c r="M86" s="49"/>
      <c r="N86" s="106"/>
      <c r="O86" s="9">
        <v>0</v>
      </c>
      <c r="P86" s="9">
        <v>0</v>
      </c>
      <c r="Q86" s="9">
        <v>0</v>
      </c>
      <c r="R86" s="9">
        <v>0</v>
      </c>
      <c r="S86" s="565">
        <v>0</v>
      </c>
      <c r="T86" s="565">
        <v>0</v>
      </c>
      <c r="U86" s="565">
        <v>0</v>
      </c>
      <c r="V86" s="565">
        <v>0</v>
      </c>
      <c r="W86" s="565">
        <v>0</v>
      </c>
      <c r="X86" s="565">
        <v>0</v>
      </c>
      <c r="Y86" s="565">
        <v>0</v>
      </c>
      <c r="Z86" s="565">
        <v>0</v>
      </c>
    </row>
    <row r="87" spans="1:26">
      <c r="A87" s="115">
        <v>84</v>
      </c>
      <c r="B87" s="114"/>
      <c r="C87" s="3"/>
      <c r="D87" s="3" t="s">
        <v>456</v>
      </c>
      <c r="E87" s="21"/>
      <c r="F87" s="9"/>
      <c r="G87" s="3"/>
      <c r="H87" s="9"/>
      <c r="I87" s="9"/>
      <c r="J87" s="9"/>
      <c r="K87" s="9"/>
      <c r="L87" s="29"/>
      <c r="M87" s="49"/>
      <c r="N87" s="106"/>
      <c r="O87" s="9">
        <v>0</v>
      </c>
      <c r="P87" s="9">
        <v>0</v>
      </c>
      <c r="Q87" s="9">
        <v>0</v>
      </c>
      <c r="R87" s="9">
        <v>0</v>
      </c>
      <c r="S87" s="565">
        <v>0</v>
      </c>
      <c r="T87" s="565">
        <v>0</v>
      </c>
      <c r="U87" s="565">
        <v>0</v>
      </c>
      <c r="V87" s="565">
        <v>0</v>
      </c>
      <c r="W87" s="565">
        <v>0</v>
      </c>
      <c r="X87" s="565">
        <v>0</v>
      </c>
      <c r="Y87" s="565">
        <v>0</v>
      </c>
      <c r="Z87" s="565">
        <v>0</v>
      </c>
    </row>
    <row r="88" spans="1:26">
      <c r="A88" s="115">
        <v>85</v>
      </c>
      <c r="B88" s="113" t="s">
        <v>40</v>
      </c>
      <c r="C88" s="16"/>
      <c r="D88" s="16"/>
      <c r="E88" s="17"/>
      <c r="F88" s="9">
        <v>0</v>
      </c>
      <c r="G88" s="12">
        <v>0</v>
      </c>
      <c r="H88" s="11">
        <v>0</v>
      </c>
      <c r="I88" s="16">
        <v>0</v>
      </c>
      <c r="J88" s="11">
        <f t="shared" si="52"/>
        <v>0</v>
      </c>
      <c r="K88" s="16">
        <v>0</v>
      </c>
      <c r="L88" s="79">
        <v>0</v>
      </c>
      <c r="M88" s="87">
        <v>0</v>
      </c>
      <c r="N88" s="107">
        <v>0</v>
      </c>
      <c r="O88" s="11">
        <v>0</v>
      </c>
      <c r="P88" s="121">
        <v>0</v>
      </c>
      <c r="Q88" s="121">
        <v>0</v>
      </c>
      <c r="R88" s="121">
        <v>0</v>
      </c>
      <c r="S88" s="122">
        <v>0</v>
      </c>
      <c r="T88" s="122">
        <v>0</v>
      </c>
      <c r="U88" s="122">
        <v>0</v>
      </c>
      <c r="V88" s="122">
        <v>0</v>
      </c>
      <c r="W88" s="122">
        <v>0</v>
      </c>
      <c r="X88" s="122">
        <v>0</v>
      </c>
      <c r="Y88" s="122">
        <v>0</v>
      </c>
      <c r="Z88" s="122">
        <v>0</v>
      </c>
    </row>
    <row r="89" spans="1:26">
      <c r="A89" s="24">
        <v>86</v>
      </c>
      <c r="B89" s="114"/>
      <c r="C89" s="3" t="s">
        <v>41</v>
      </c>
      <c r="D89" s="3"/>
      <c r="E89" s="7"/>
      <c r="F89" s="9">
        <v>0</v>
      </c>
      <c r="G89" s="12">
        <v>0</v>
      </c>
      <c r="H89" s="9">
        <v>0</v>
      </c>
      <c r="I89" s="3">
        <v>0</v>
      </c>
      <c r="J89" s="9">
        <f t="shared" si="52"/>
        <v>0</v>
      </c>
      <c r="K89" s="3">
        <v>0</v>
      </c>
      <c r="L89" s="26">
        <v>0</v>
      </c>
      <c r="M89" s="49">
        <v>0</v>
      </c>
      <c r="N89" s="106">
        <v>0</v>
      </c>
      <c r="O89" s="9">
        <v>0</v>
      </c>
      <c r="P89" s="9">
        <v>0</v>
      </c>
      <c r="Q89" s="9">
        <v>0</v>
      </c>
      <c r="R89" s="9">
        <v>0</v>
      </c>
      <c r="S89" s="565">
        <v>0</v>
      </c>
      <c r="T89" s="565">
        <v>0</v>
      </c>
      <c r="U89" s="565">
        <v>0</v>
      </c>
      <c r="V89" s="565">
        <f t="shared" ref="V89:V92" si="57">T89+U89</f>
        <v>0</v>
      </c>
      <c r="W89" s="565">
        <v>0</v>
      </c>
      <c r="X89" s="565">
        <f t="shared" ref="X89:X92" si="58">V89+W89</f>
        <v>0</v>
      </c>
      <c r="Y89" s="565">
        <v>0</v>
      </c>
      <c r="Z89" s="565">
        <f t="shared" ref="Z89:Z92" si="59">X89+Y89</f>
        <v>0</v>
      </c>
    </row>
    <row r="90" spans="1:26">
      <c r="A90" s="115">
        <v>87</v>
      </c>
      <c r="B90" s="114"/>
      <c r="C90" s="3" t="s">
        <v>42</v>
      </c>
      <c r="D90" s="3"/>
      <c r="E90" s="7"/>
      <c r="F90" s="9">
        <v>0</v>
      </c>
      <c r="G90" s="12">
        <v>0</v>
      </c>
      <c r="H90" s="9">
        <v>0</v>
      </c>
      <c r="I90" s="3">
        <v>0</v>
      </c>
      <c r="J90" s="9">
        <f t="shared" si="52"/>
        <v>0</v>
      </c>
      <c r="K90" s="3">
        <v>0</v>
      </c>
      <c r="L90" s="26">
        <v>0</v>
      </c>
      <c r="M90" s="49">
        <v>0</v>
      </c>
      <c r="N90" s="106">
        <v>0</v>
      </c>
      <c r="O90" s="9">
        <v>0</v>
      </c>
      <c r="P90" s="9">
        <v>0</v>
      </c>
      <c r="Q90" s="9">
        <v>0</v>
      </c>
      <c r="R90" s="9">
        <v>0</v>
      </c>
      <c r="S90" s="565">
        <v>0</v>
      </c>
      <c r="T90" s="565">
        <v>0</v>
      </c>
      <c r="U90" s="565">
        <v>0</v>
      </c>
      <c r="V90" s="565">
        <f t="shared" si="57"/>
        <v>0</v>
      </c>
      <c r="W90" s="565">
        <v>0</v>
      </c>
      <c r="X90" s="565">
        <f t="shared" si="58"/>
        <v>0</v>
      </c>
      <c r="Y90" s="565">
        <v>0</v>
      </c>
      <c r="Z90" s="565">
        <f t="shared" si="59"/>
        <v>0</v>
      </c>
    </row>
    <row r="91" spans="1:26">
      <c r="A91" s="115">
        <v>88</v>
      </c>
      <c r="B91" s="114"/>
      <c r="C91" s="3" t="s">
        <v>44</v>
      </c>
      <c r="D91" s="3"/>
      <c r="E91" s="7"/>
      <c r="F91" s="9">
        <v>0</v>
      </c>
      <c r="G91" s="12">
        <v>0</v>
      </c>
      <c r="H91" s="11">
        <v>0</v>
      </c>
      <c r="I91" s="3">
        <v>0</v>
      </c>
      <c r="J91" s="9">
        <f t="shared" si="52"/>
        <v>0</v>
      </c>
      <c r="K91" s="3">
        <v>0</v>
      </c>
      <c r="L91" s="26">
        <v>0</v>
      </c>
      <c r="M91" s="49">
        <v>0</v>
      </c>
      <c r="N91" s="106">
        <v>0</v>
      </c>
      <c r="O91" s="9">
        <v>0</v>
      </c>
      <c r="P91" s="9">
        <v>0</v>
      </c>
      <c r="Q91" s="9">
        <v>0</v>
      </c>
      <c r="R91" s="9">
        <v>0</v>
      </c>
      <c r="S91" s="565">
        <v>0</v>
      </c>
      <c r="T91" s="565">
        <v>0</v>
      </c>
      <c r="U91" s="565">
        <v>0</v>
      </c>
      <c r="V91" s="565">
        <f t="shared" si="57"/>
        <v>0</v>
      </c>
      <c r="W91" s="565">
        <v>0</v>
      </c>
      <c r="X91" s="565">
        <f t="shared" si="58"/>
        <v>0</v>
      </c>
      <c r="Y91" s="565">
        <v>0</v>
      </c>
      <c r="Z91" s="565">
        <f t="shared" si="59"/>
        <v>0</v>
      </c>
    </row>
    <row r="92" spans="1:26">
      <c r="A92" s="24">
        <v>89</v>
      </c>
      <c r="B92" s="114"/>
      <c r="C92" s="3" t="s">
        <v>43</v>
      </c>
      <c r="D92" s="3"/>
      <c r="E92" s="7"/>
      <c r="F92" s="9">
        <v>0</v>
      </c>
      <c r="G92" s="12">
        <v>0</v>
      </c>
      <c r="H92" s="11">
        <v>0</v>
      </c>
      <c r="I92" s="3">
        <v>0</v>
      </c>
      <c r="J92" s="9">
        <f t="shared" si="52"/>
        <v>0</v>
      </c>
      <c r="K92" s="3">
        <v>0</v>
      </c>
      <c r="L92" s="26">
        <v>0</v>
      </c>
      <c r="M92" s="49">
        <v>0</v>
      </c>
      <c r="N92" s="106">
        <v>0</v>
      </c>
      <c r="O92" s="9">
        <v>0</v>
      </c>
      <c r="P92" s="9">
        <v>0</v>
      </c>
      <c r="Q92" s="9">
        <v>0</v>
      </c>
      <c r="R92" s="9">
        <v>0</v>
      </c>
      <c r="S92" s="565">
        <v>0</v>
      </c>
      <c r="T92" s="565">
        <v>0</v>
      </c>
      <c r="U92" s="565">
        <v>0</v>
      </c>
      <c r="V92" s="565">
        <f t="shared" si="57"/>
        <v>0</v>
      </c>
      <c r="W92" s="565">
        <v>0</v>
      </c>
      <c r="X92" s="565">
        <f t="shared" si="58"/>
        <v>0</v>
      </c>
      <c r="Y92" s="565">
        <v>0</v>
      </c>
      <c r="Z92" s="565">
        <f t="shared" si="59"/>
        <v>0</v>
      </c>
    </row>
    <row r="93" spans="1:26">
      <c r="A93" s="115">
        <v>90</v>
      </c>
      <c r="B93" s="113" t="s">
        <v>45</v>
      </c>
      <c r="C93" s="16"/>
      <c r="D93" s="16"/>
      <c r="E93" s="17"/>
      <c r="F93" s="11">
        <f>+F94+F95</f>
        <v>304605</v>
      </c>
      <c r="G93" s="11">
        <v>306486</v>
      </c>
      <c r="H93" s="11">
        <f t="shared" ref="H93:I93" si="60">+H94+H95</f>
        <v>324000</v>
      </c>
      <c r="I93" s="11">
        <f t="shared" si="60"/>
        <v>616</v>
      </c>
      <c r="J93" s="11">
        <f>I93+H93</f>
        <v>324616</v>
      </c>
      <c r="K93" s="16">
        <f>K94+K95</f>
        <v>473</v>
      </c>
      <c r="L93" s="31">
        <f>J93+K93</f>
        <v>325089</v>
      </c>
      <c r="M93" s="87">
        <v>109</v>
      </c>
      <c r="N93" s="85">
        <f>L93+M93</f>
        <v>325198</v>
      </c>
      <c r="O93" s="11">
        <f>O94+O95</f>
        <v>336000</v>
      </c>
      <c r="P93" s="121">
        <f t="shared" ref="P93:U93" si="61">SUM(P94:P95)</f>
        <v>386873</v>
      </c>
      <c r="Q93" s="121">
        <f t="shared" si="61"/>
        <v>394562</v>
      </c>
      <c r="R93" s="121">
        <f t="shared" si="61"/>
        <v>457521</v>
      </c>
      <c r="S93" s="122">
        <f t="shared" si="61"/>
        <v>588141</v>
      </c>
      <c r="T93" s="122">
        <f t="shared" si="61"/>
        <v>734429</v>
      </c>
      <c r="U93" s="122">
        <f t="shared" si="61"/>
        <v>-31713</v>
      </c>
      <c r="V93" s="122">
        <f>T93+U93</f>
        <v>702716</v>
      </c>
      <c r="W93" s="122">
        <f t="shared" ref="W93:Y93" si="62">SUM(W94:W95)</f>
        <v>4050</v>
      </c>
      <c r="X93" s="122">
        <f>V93+W93</f>
        <v>706766</v>
      </c>
      <c r="Y93" s="122">
        <f t="shared" si="62"/>
        <v>7245</v>
      </c>
      <c r="Z93" s="122">
        <f>X93+Y93</f>
        <v>714011</v>
      </c>
    </row>
    <row r="94" spans="1:26">
      <c r="A94" s="115">
        <v>91</v>
      </c>
      <c r="B94" s="114"/>
      <c r="C94" s="3" t="s">
        <v>46</v>
      </c>
      <c r="D94" s="3"/>
      <c r="E94" s="7"/>
      <c r="F94" s="9">
        <v>0</v>
      </c>
      <c r="G94" s="9">
        <v>435</v>
      </c>
      <c r="H94" s="9">
        <v>0</v>
      </c>
      <c r="I94" s="3">
        <v>616</v>
      </c>
      <c r="J94" s="9">
        <f t="shared" si="52"/>
        <v>616</v>
      </c>
      <c r="K94" s="3">
        <v>0</v>
      </c>
      <c r="L94" s="26">
        <v>616</v>
      </c>
      <c r="M94" s="49">
        <v>0</v>
      </c>
      <c r="N94" s="106">
        <v>616</v>
      </c>
      <c r="O94" s="9">
        <v>0</v>
      </c>
      <c r="P94" s="9">
        <v>0</v>
      </c>
      <c r="Q94" s="9">
        <v>0</v>
      </c>
      <c r="R94" s="9">
        <v>0</v>
      </c>
      <c r="S94" s="565">
        <v>0</v>
      </c>
      <c r="T94" s="565">
        <v>0</v>
      </c>
      <c r="U94" s="565">
        <v>2010</v>
      </c>
      <c r="V94" s="565">
        <f t="shared" ref="V94:V95" si="63">T94+U94</f>
        <v>2010</v>
      </c>
      <c r="W94" s="565">
        <v>0</v>
      </c>
      <c r="X94" s="565">
        <f t="shared" ref="X94:X95" si="64">V94+W94</f>
        <v>2010</v>
      </c>
      <c r="Y94" s="565">
        <v>0</v>
      </c>
      <c r="Z94" s="565">
        <f t="shared" ref="Z94:Z95" si="65">X94+Y94</f>
        <v>2010</v>
      </c>
    </row>
    <row r="95" spans="1:26">
      <c r="A95" s="24">
        <v>92</v>
      </c>
      <c r="B95" s="114"/>
      <c r="C95" s="3" t="s">
        <v>49</v>
      </c>
      <c r="D95" s="3"/>
      <c r="E95" s="7"/>
      <c r="F95" s="9">
        <v>304605</v>
      </c>
      <c r="G95" s="9">
        <v>306051</v>
      </c>
      <c r="H95" s="9">
        <v>324000</v>
      </c>
      <c r="I95" s="3">
        <v>0</v>
      </c>
      <c r="J95" s="9">
        <v>324000</v>
      </c>
      <c r="K95" s="3">
        <v>473</v>
      </c>
      <c r="L95" s="29">
        <f>J95+K95</f>
        <v>324473</v>
      </c>
      <c r="M95" s="49">
        <v>109</v>
      </c>
      <c r="N95" s="27">
        <f>L95+M95</f>
        <v>324582</v>
      </c>
      <c r="O95" s="9">
        <v>336000</v>
      </c>
      <c r="P95" s="9">
        <v>386873</v>
      </c>
      <c r="Q95" s="9">
        <v>394562</v>
      </c>
      <c r="R95" s="9">
        <v>457521</v>
      </c>
      <c r="S95" s="565">
        <v>588141</v>
      </c>
      <c r="T95" s="565">
        <v>734429</v>
      </c>
      <c r="U95" s="565">
        <v>-33723</v>
      </c>
      <c r="V95" s="565">
        <f t="shared" si="63"/>
        <v>700706</v>
      </c>
      <c r="W95" s="565">
        <v>4050</v>
      </c>
      <c r="X95" s="565">
        <f t="shared" si="64"/>
        <v>704756</v>
      </c>
      <c r="Y95" s="565">
        <v>7245</v>
      </c>
      <c r="Z95" s="565">
        <f t="shared" si="65"/>
        <v>712001</v>
      </c>
    </row>
    <row r="96" spans="1:26">
      <c r="A96" s="115">
        <v>93</v>
      </c>
      <c r="B96" s="113" t="s">
        <v>19</v>
      </c>
      <c r="C96" s="16"/>
      <c r="D96" s="16"/>
      <c r="E96" s="17"/>
      <c r="F96" s="11">
        <f>+F93+F88+F70</f>
        <v>304605</v>
      </c>
      <c r="G96" s="11">
        <f>+G93+G88+G70</f>
        <v>310034</v>
      </c>
      <c r="H96" s="11">
        <f>H70+H88+H93</f>
        <v>324000</v>
      </c>
      <c r="I96" s="11">
        <f>I70+I88+I93</f>
        <v>1416</v>
      </c>
      <c r="J96" s="11">
        <f>I96+H96</f>
        <v>325416</v>
      </c>
      <c r="K96" s="11">
        <f>K70+K93</f>
        <v>973</v>
      </c>
      <c r="L96" s="31">
        <f t="shared" ref="L96" si="66">K96+J96</f>
        <v>326389</v>
      </c>
      <c r="M96" s="87">
        <v>109</v>
      </c>
      <c r="N96" s="85">
        <f>L96+M96</f>
        <v>326498</v>
      </c>
      <c r="O96" s="11">
        <f>O70+O88+O93</f>
        <v>336000</v>
      </c>
      <c r="P96" s="121">
        <f t="shared" ref="P96:U96" si="67">SUM(P93,P88,P70)</f>
        <v>386873</v>
      </c>
      <c r="Q96" s="121">
        <f t="shared" si="67"/>
        <v>394562</v>
      </c>
      <c r="R96" s="121">
        <f t="shared" si="67"/>
        <v>457521</v>
      </c>
      <c r="S96" s="122">
        <f t="shared" si="67"/>
        <v>588141</v>
      </c>
      <c r="T96" s="122">
        <f t="shared" si="67"/>
        <v>734429</v>
      </c>
      <c r="U96" s="122">
        <f t="shared" si="67"/>
        <v>-30926</v>
      </c>
      <c r="V96" s="122">
        <f>T96+U96</f>
        <v>703503</v>
      </c>
      <c r="W96" s="122">
        <f t="shared" ref="W96:Y96" si="68">SUM(W93,W88,W70)</f>
        <v>5936</v>
      </c>
      <c r="X96" s="122">
        <f>V96+W96</f>
        <v>709439</v>
      </c>
      <c r="Y96" s="122">
        <f t="shared" si="68"/>
        <v>7707</v>
      </c>
      <c r="Z96" s="122">
        <f>X96+Y96</f>
        <v>717146</v>
      </c>
    </row>
    <row r="97" spans="1:26" ht="78" customHeight="1">
      <c r="A97" s="115">
        <v>94</v>
      </c>
      <c r="B97" s="113" t="s">
        <v>22</v>
      </c>
      <c r="C97" s="3"/>
      <c r="D97" s="3"/>
      <c r="E97" s="7"/>
      <c r="F97" s="15" t="s">
        <v>107</v>
      </c>
      <c r="G97" s="6" t="s">
        <v>113</v>
      </c>
      <c r="H97" s="6" t="s">
        <v>112</v>
      </c>
      <c r="I97" s="24" t="s">
        <v>111</v>
      </c>
      <c r="J97" s="6" t="s">
        <v>115</v>
      </c>
      <c r="K97" s="24" t="s">
        <v>111</v>
      </c>
      <c r="L97" s="76" t="s">
        <v>255</v>
      </c>
      <c r="M97" s="86" t="s">
        <v>111</v>
      </c>
      <c r="N97" s="76" t="s">
        <v>260</v>
      </c>
      <c r="O97" s="6" t="str">
        <f>$O$4</f>
        <v>Előirányzat
4/2020. (III.05.) önkormányzati rendelet</v>
      </c>
      <c r="P97" s="6" t="s">
        <v>460</v>
      </c>
      <c r="Q97" s="6" t="str">
        <f>Q$4</f>
        <v>Előirányzat
3/2022. (II.10.) önkormányzati rendelet</v>
      </c>
      <c r="R97" s="6" t="str">
        <f>R$4</f>
        <v>Előirányzat
1./2023. (II.23.) önkormányzati rendelet</v>
      </c>
      <c r="S97" s="6" t="str">
        <f>S$4</f>
        <v>Előirányzat
1./2024. (II)22. önkormányzati rendelet</v>
      </c>
      <c r="T97" s="562" t="str">
        <f>T$4</f>
        <v>Előirányzat
2/2025. (II.20.) önkormányzati rendelet</v>
      </c>
      <c r="U97" s="562" t="s">
        <v>111</v>
      </c>
      <c r="V97" s="562" t="str">
        <f>V4</f>
        <v>Előirányzat 13/2025. (VI.26.) önkormányzati rendelet</v>
      </c>
      <c r="W97" s="562" t="s">
        <v>111</v>
      </c>
      <c r="X97" s="562" t="str">
        <f>X4</f>
        <v>Előirányzat 16/2025. (IX.25.) önkormányzati rendelet</v>
      </c>
      <c r="Y97" s="562" t="s">
        <v>111</v>
      </c>
      <c r="Z97" s="562" t="str">
        <f>Z4</f>
        <v>Módosított előirányzat</v>
      </c>
    </row>
    <row r="98" spans="1:26">
      <c r="A98" s="24">
        <v>95</v>
      </c>
      <c r="B98" s="113" t="s">
        <v>25</v>
      </c>
      <c r="C98" s="3"/>
      <c r="D98" s="3"/>
      <c r="E98" s="7"/>
      <c r="F98" s="9"/>
      <c r="G98" s="3"/>
      <c r="H98" s="9"/>
      <c r="I98" s="3"/>
      <c r="J98" s="3"/>
      <c r="K98" s="3"/>
      <c r="L98" s="26"/>
      <c r="M98" s="49"/>
      <c r="N98" s="106"/>
      <c r="O98" s="9"/>
      <c r="P98" s="9"/>
      <c r="Q98" s="9"/>
      <c r="R98" s="9"/>
      <c r="S98" s="9"/>
      <c r="T98" s="565"/>
      <c r="U98" s="565"/>
      <c r="V98" s="565"/>
      <c r="W98" s="565"/>
      <c r="X98" s="565"/>
      <c r="Y98" s="565"/>
      <c r="Z98" s="565"/>
    </row>
    <row r="99" spans="1:26">
      <c r="A99" s="115">
        <v>96</v>
      </c>
      <c r="B99" s="113"/>
      <c r="C99" s="3" t="s">
        <v>26</v>
      </c>
      <c r="D99" s="3"/>
      <c r="E99" s="7"/>
      <c r="F99" s="9"/>
      <c r="G99" s="3"/>
      <c r="H99" s="9"/>
      <c r="I99" s="3"/>
      <c r="J99" s="3"/>
      <c r="K99" s="3"/>
      <c r="L99" s="26"/>
      <c r="M99" s="49"/>
      <c r="N99" s="106"/>
      <c r="O99" s="9"/>
      <c r="P99" s="9"/>
      <c r="Q99" s="9"/>
      <c r="R99" s="9"/>
      <c r="S99" s="9"/>
      <c r="T99" s="565"/>
      <c r="U99" s="565"/>
      <c r="V99" s="565"/>
      <c r="W99" s="565"/>
      <c r="X99" s="565"/>
      <c r="Y99" s="565"/>
      <c r="Z99" s="565"/>
    </row>
    <row r="100" spans="1:26">
      <c r="A100" s="115">
        <v>97</v>
      </c>
      <c r="B100" s="113" t="s">
        <v>28</v>
      </c>
      <c r="C100" s="16"/>
      <c r="D100" s="16"/>
      <c r="E100" s="17"/>
      <c r="F100" s="11">
        <f>+F101+F111+F112</f>
        <v>4538</v>
      </c>
      <c r="G100" s="11">
        <f>+G101+G111+G112</f>
        <v>43916</v>
      </c>
      <c r="H100" s="11">
        <f>H101+H111+H112</f>
        <v>2100</v>
      </c>
      <c r="I100" s="33">
        <f>I101+I111+I112</f>
        <v>6587</v>
      </c>
      <c r="J100" s="34">
        <f>I100+H100</f>
        <v>8687</v>
      </c>
      <c r="K100" s="11">
        <v>4196</v>
      </c>
      <c r="L100" s="31">
        <f>L101+L111</f>
        <v>12883</v>
      </c>
      <c r="M100" s="85">
        <f>M101+M111</f>
        <v>4577</v>
      </c>
      <c r="N100" s="85">
        <f>L100+M100</f>
        <v>17460</v>
      </c>
      <c r="O100" s="85">
        <f t="shared" ref="O100:S100" si="69">SUM(O101,O111,O112,O113)</f>
        <v>2100</v>
      </c>
      <c r="P100" s="121">
        <f t="shared" si="69"/>
        <v>2100</v>
      </c>
      <c r="Q100" s="121">
        <f t="shared" si="69"/>
        <v>2100</v>
      </c>
      <c r="R100" s="121">
        <f t="shared" si="69"/>
        <v>2500</v>
      </c>
      <c r="S100" s="121">
        <f t="shared" si="69"/>
        <v>2705</v>
      </c>
      <c r="T100" s="122">
        <f>SUM(T101,T111,T112,T113)</f>
        <v>4200</v>
      </c>
      <c r="U100" s="122">
        <f>U101+U111</f>
        <v>4172</v>
      </c>
      <c r="V100" s="122">
        <f>T100+U100</f>
        <v>8372</v>
      </c>
      <c r="W100" s="122">
        <f>W101+W111</f>
        <v>4095</v>
      </c>
      <c r="X100" s="122">
        <f>V100+W100</f>
        <v>12467</v>
      </c>
      <c r="Y100" s="122">
        <f>SUM(Y101,Y111,Y112,Y113)</f>
        <v>3078</v>
      </c>
      <c r="Z100" s="122">
        <f>X100+Y100</f>
        <v>15545</v>
      </c>
    </row>
    <row r="101" spans="1:26">
      <c r="A101" s="24">
        <v>98</v>
      </c>
      <c r="B101" s="114"/>
      <c r="C101" s="3" t="s">
        <v>29</v>
      </c>
      <c r="D101" s="3"/>
      <c r="E101" s="7"/>
      <c r="F101" s="9">
        <v>2188</v>
      </c>
      <c r="G101" s="9">
        <v>36559</v>
      </c>
      <c r="H101" s="9">
        <v>0</v>
      </c>
      <c r="I101" s="9">
        <v>1568</v>
      </c>
      <c r="J101" s="9">
        <v>1568</v>
      </c>
      <c r="K101" s="9">
        <v>4196</v>
      </c>
      <c r="L101" s="29">
        <f>K101+J101</f>
        <v>5764</v>
      </c>
      <c r="M101" s="10">
        <v>4577</v>
      </c>
      <c r="N101" s="27">
        <f>L101+M101</f>
        <v>10341</v>
      </c>
      <c r="O101" s="9">
        <v>0</v>
      </c>
      <c r="P101" s="135">
        <f>SUM(P102,P109:P110)</f>
        <v>0</v>
      </c>
      <c r="Q101" s="135">
        <f>SUM(Q102,Q109:Q110)</f>
        <v>0</v>
      </c>
      <c r="R101" s="135">
        <f>SUM(R102,R109:R110)</f>
        <v>0</v>
      </c>
      <c r="S101" s="135">
        <f>SUM(S102,S109:S110)</f>
        <v>0</v>
      </c>
      <c r="T101" s="566">
        <f>SUM(T102,T109:T110)</f>
        <v>0</v>
      </c>
      <c r="U101" s="566">
        <f>SUM(U102:U112)</f>
        <v>4172</v>
      </c>
      <c r="V101" s="566">
        <f>T101+U101</f>
        <v>4172</v>
      </c>
      <c r="W101" s="566">
        <f>SUM(W102:W112)</f>
        <v>4095</v>
      </c>
      <c r="X101" s="566">
        <f>V101+W101</f>
        <v>8267</v>
      </c>
      <c r="Y101" s="566">
        <f>SUM(Y102:Y110)</f>
        <v>2278</v>
      </c>
      <c r="Z101" s="566">
        <f>X101+Y101</f>
        <v>10545</v>
      </c>
    </row>
    <row r="102" spans="1:26">
      <c r="A102" s="115">
        <v>99</v>
      </c>
      <c r="B102" s="114"/>
      <c r="C102" s="3"/>
      <c r="D102" s="3" t="s">
        <v>36</v>
      </c>
      <c r="E102" s="7"/>
      <c r="F102" s="9">
        <f>SUM(F103:F108)</f>
        <v>0</v>
      </c>
      <c r="G102" s="3">
        <v>0</v>
      </c>
      <c r="H102" s="9">
        <f t="shared" ref="H102" si="70">SUM(H103:H108)</f>
        <v>0</v>
      </c>
      <c r="I102" s="11">
        <v>0</v>
      </c>
      <c r="J102" s="9">
        <f>H102+I102</f>
        <v>0</v>
      </c>
      <c r="K102" s="9">
        <v>0</v>
      </c>
      <c r="L102" s="29">
        <v>0</v>
      </c>
      <c r="M102" s="10">
        <v>0</v>
      </c>
      <c r="N102" s="106">
        <v>0</v>
      </c>
      <c r="O102" s="9">
        <v>0</v>
      </c>
      <c r="P102" s="110">
        <f>SUM(P103:P108)</f>
        <v>0</v>
      </c>
      <c r="Q102" s="110">
        <f>SUM(Q103:Q108)</f>
        <v>0</v>
      </c>
      <c r="R102" s="110">
        <f>SUM(R103:R108)</f>
        <v>0</v>
      </c>
      <c r="S102" s="110">
        <f>SUM(S103:S108)</f>
        <v>0</v>
      </c>
      <c r="T102" s="571">
        <f>SUM(T103:T108)</f>
        <v>0</v>
      </c>
      <c r="U102" s="571">
        <v>0</v>
      </c>
      <c r="V102" s="571">
        <v>0</v>
      </c>
      <c r="W102" s="571">
        <v>0</v>
      </c>
      <c r="X102" s="571">
        <v>0</v>
      </c>
      <c r="Y102" s="571">
        <v>0</v>
      </c>
      <c r="Z102" s="571">
        <v>0</v>
      </c>
    </row>
    <row r="103" spans="1:26">
      <c r="A103" s="115">
        <v>100</v>
      </c>
      <c r="B103" s="114"/>
      <c r="C103" s="3"/>
      <c r="D103" s="3"/>
      <c r="E103" s="18" t="s">
        <v>30</v>
      </c>
      <c r="F103" s="19">
        <v>0</v>
      </c>
      <c r="G103" s="3">
        <v>0</v>
      </c>
      <c r="H103" s="9">
        <v>0</v>
      </c>
      <c r="I103" s="9">
        <v>0</v>
      </c>
      <c r="J103" s="9">
        <f t="shared" ref="J103:J125" si="71">H103+I103</f>
        <v>0</v>
      </c>
      <c r="K103" s="9">
        <v>0</v>
      </c>
      <c r="L103" s="29">
        <v>0</v>
      </c>
      <c r="M103" s="10">
        <v>0</v>
      </c>
      <c r="N103" s="106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565">
        <v>0</v>
      </c>
      <c r="U103" s="565">
        <v>0</v>
      </c>
      <c r="V103" s="565">
        <v>0</v>
      </c>
      <c r="W103" s="565">
        <v>0</v>
      </c>
      <c r="X103" s="565">
        <v>0</v>
      </c>
      <c r="Y103" s="565">
        <v>0</v>
      </c>
      <c r="Z103" s="565">
        <v>0</v>
      </c>
    </row>
    <row r="104" spans="1:26">
      <c r="A104" s="24">
        <v>101</v>
      </c>
      <c r="B104" s="114"/>
      <c r="C104" s="3"/>
      <c r="D104" s="3"/>
      <c r="E104" s="18" t="s">
        <v>31</v>
      </c>
      <c r="F104" s="19">
        <v>0</v>
      </c>
      <c r="G104" s="3">
        <v>0</v>
      </c>
      <c r="H104" s="9">
        <v>0</v>
      </c>
      <c r="I104" s="9">
        <v>0</v>
      </c>
      <c r="J104" s="9">
        <f t="shared" si="71"/>
        <v>0</v>
      </c>
      <c r="K104" s="9">
        <v>0</v>
      </c>
      <c r="L104" s="29">
        <v>0</v>
      </c>
      <c r="M104" s="10">
        <v>0</v>
      </c>
      <c r="N104" s="106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565">
        <v>0</v>
      </c>
      <c r="U104" s="565">
        <v>0</v>
      </c>
      <c r="V104" s="565">
        <v>0</v>
      </c>
      <c r="W104" s="565">
        <v>0</v>
      </c>
      <c r="X104" s="565">
        <v>0</v>
      </c>
      <c r="Y104" s="565">
        <v>0</v>
      </c>
      <c r="Z104" s="565">
        <v>0</v>
      </c>
    </row>
    <row r="105" spans="1:26" ht="30">
      <c r="A105" s="115">
        <v>102</v>
      </c>
      <c r="B105" s="114"/>
      <c r="C105" s="3"/>
      <c r="D105" s="3"/>
      <c r="E105" s="20" t="s">
        <v>32</v>
      </c>
      <c r="F105" s="19">
        <v>0</v>
      </c>
      <c r="G105" s="3">
        <v>0</v>
      </c>
      <c r="H105" s="9">
        <v>0</v>
      </c>
      <c r="I105" s="9">
        <v>0</v>
      </c>
      <c r="J105" s="9">
        <f t="shared" si="71"/>
        <v>0</v>
      </c>
      <c r="K105" s="9">
        <v>0</v>
      </c>
      <c r="L105" s="29">
        <v>0</v>
      </c>
      <c r="M105" s="10">
        <v>0</v>
      </c>
      <c r="N105" s="106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565">
        <v>0</v>
      </c>
      <c r="U105" s="565">
        <v>0</v>
      </c>
      <c r="V105" s="565">
        <v>0</v>
      </c>
      <c r="W105" s="565">
        <v>0</v>
      </c>
      <c r="X105" s="565">
        <v>0</v>
      </c>
      <c r="Y105" s="565">
        <v>0</v>
      </c>
      <c r="Z105" s="565">
        <v>0</v>
      </c>
    </row>
    <row r="106" spans="1:26">
      <c r="A106" s="115">
        <v>103</v>
      </c>
      <c r="B106" s="114"/>
      <c r="C106" s="3"/>
      <c r="D106" s="3"/>
      <c r="E106" s="20" t="s">
        <v>33</v>
      </c>
      <c r="F106" s="19">
        <v>0</v>
      </c>
      <c r="G106" s="3">
        <v>0</v>
      </c>
      <c r="H106" s="9">
        <v>0</v>
      </c>
      <c r="I106" s="9">
        <v>0</v>
      </c>
      <c r="J106" s="9">
        <f t="shared" si="71"/>
        <v>0</v>
      </c>
      <c r="K106" s="9">
        <v>0</v>
      </c>
      <c r="L106" s="29">
        <v>0</v>
      </c>
      <c r="M106" s="10">
        <v>0</v>
      </c>
      <c r="N106" s="106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565">
        <v>0</v>
      </c>
      <c r="U106" s="565">
        <v>0</v>
      </c>
      <c r="V106" s="565">
        <v>0</v>
      </c>
      <c r="W106" s="565">
        <v>0</v>
      </c>
      <c r="X106" s="565">
        <v>0</v>
      </c>
      <c r="Y106" s="565">
        <v>0</v>
      </c>
      <c r="Z106" s="565">
        <v>0</v>
      </c>
    </row>
    <row r="107" spans="1:26">
      <c r="A107" s="24">
        <v>104</v>
      </c>
      <c r="B107" s="114"/>
      <c r="C107" s="3"/>
      <c r="D107" s="3"/>
      <c r="E107" s="20" t="s">
        <v>34</v>
      </c>
      <c r="F107" s="19">
        <v>0</v>
      </c>
      <c r="G107" s="3">
        <v>0</v>
      </c>
      <c r="H107" s="9">
        <v>0</v>
      </c>
      <c r="I107" s="9">
        <v>0</v>
      </c>
      <c r="J107" s="9">
        <f t="shared" si="71"/>
        <v>0</v>
      </c>
      <c r="K107" s="9">
        <v>0</v>
      </c>
      <c r="L107" s="29">
        <v>0</v>
      </c>
      <c r="M107" s="10">
        <v>0</v>
      </c>
      <c r="N107" s="106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565">
        <v>0</v>
      </c>
      <c r="U107" s="565">
        <v>0</v>
      </c>
      <c r="V107" s="565">
        <v>0</v>
      </c>
      <c r="W107" s="565">
        <v>0</v>
      </c>
      <c r="X107" s="565">
        <v>0</v>
      </c>
      <c r="Y107" s="565">
        <v>0</v>
      </c>
      <c r="Z107" s="565">
        <v>0</v>
      </c>
    </row>
    <row r="108" spans="1:26">
      <c r="A108" s="115">
        <v>105</v>
      </c>
      <c r="B108" s="114"/>
      <c r="C108" s="3"/>
      <c r="D108" s="3"/>
      <c r="E108" s="20" t="s">
        <v>35</v>
      </c>
      <c r="F108" s="19">
        <v>0</v>
      </c>
      <c r="G108" s="3">
        <v>0</v>
      </c>
      <c r="H108" s="9">
        <v>0</v>
      </c>
      <c r="I108" s="9">
        <v>0</v>
      </c>
      <c r="J108" s="9">
        <f t="shared" si="71"/>
        <v>0</v>
      </c>
      <c r="K108" s="9">
        <v>0</v>
      </c>
      <c r="L108" s="29">
        <v>0</v>
      </c>
      <c r="M108" s="10">
        <v>0</v>
      </c>
      <c r="N108" s="106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565">
        <v>0</v>
      </c>
      <c r="U108" s="565">
        <v>0</v>
      </c>
      <c r="V108" s="565">
        <v>0</v>
      </c>
      <c r="W108" s="565">
        <v>0</v>
      </c>
      <c r="X108" s="565">
        <v>0</v>
      </c>
      <c r="Y108" s="565">
        <v>0</v>
      </c>
      <c r="Z108" s="565">
        <v>0</v>
      </c>
    </row>
    <row r="109" spans="1:26">
      <c r="A109" s="115">
        <v>106</v>
      </c>
      <c r="B109" s="114"/>
      <c r="C109" s="3"/>
      <c r="D109" s="3" t="s">
        <v>47</v>
      </c>
      <c r="E109" s="21"/>
      <c r="F109" s="9">
        <v>0</v>
      </c>
      <c r="G109" s="3">
        <v>0</v>
      </c>
      <c r="H109" s="9">
        <v>0</v>
      </c>
      <c r="I109" s="9">
        <v>0</v>
      </c>
      <c r="J109" s="9">
        <f t="shared" si="71"/>
        <v>0</v>
      </c>
      <c r="K109" s="9">
        <v>0</v>
      </c>
      <c r="L109" s="29">
        <v>0</v>
      </c>
      <c r="M109" s="10">
        <v>0</v>
      </c>
      <c r="N109" s="106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565">
        <v>0</v>
      </c>
      <c r="U109" s="565">
        <v>0</v>
      </c>
      <c r="V109" s="565">
        <v>0</v>
      </c>
      <c r="W109" s="565">
        <v>0</v>
      </c>
      <c r="X109" s="565">
        <v>0</v>
      </c>
      <c r="Y109" s="565">
        <v>0</v>
      </c>
      <c r="Z109" s="565">
        <v>0</v>
      </c>
    </row>
    <row r="110" spans="1:26">
      <c r="A110" s="24">
        <v>107</v>
      </c>
      <c r="B110" s="114"/>
      <c r="C110" s="3"/>
      <c r="D110" s="3" t="s">
        <v>37</v>
      </c>
      <c r="E110" s="21"/>
      <c r="F110" s="9">
        <v>2188</v>
      </c>
      <c r="G110" s="9">
        <v>36559</v>
      </c>
      <c r="H110" s="9">
        <v>0</v>
      </c>
      <c r="I110" s="9">
        <v>1568</v>
      </c>
      <c r="J110" s="9">
        <f t="shared" si="71"/>
        <v>1568</v>
      </c>
      <c r="K110" s="9">
        <v>4196</v>
      </c>
      <c r="L110" s="29">
        <f>J110+K110</f>
        <v>5764</v>
      </c>
      <c r="M110" s="10">
        <v>4577</v>
      </c>
      <c r="N110" s="27">
        <f>L110+M110</f>
        <v>10341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565">
        <v>0</v>
      </c>
      <c r="U110" s="565">
        <v>4172</v>
      </c>
      <c r="V110" s="565">
        <f>T110+U110</f>
        <v>4172</v>
      </c>
      <c r="W110" s="565">
        <v>4095</v>
      </c>
      <c r="X110" s="565">
        <f>V110+W110</f>
        <v>8267</v>
      </c>
      <c r="Y110" s="565">
        <v>2278</v>
      </c>
      <c r="Z110" s="565">
        <f>X110+Y110</f>
        <v>10545</v>
      </c>
    </row>
    <row r="111" spans="1:26">
      <c r="A111" s="115">
        <v>108</v>
      </c>
      <c r="B111" s="114"/>
      <c r="C111" s="3" t="s">
        <v>38</v>
      </c>
      <c r="D111" s="3"/>
      <c r="E111" s="21"/>
      <c r="F111" s="9">
        <v>2350</v>
      </c>
      <c r="G111" s="9">
        <v>7357</v>
      </c>
      <c r="H111" s="9">
        <v>2100</v>
      </c>
      <c r="I111" s="9">
        <v>5019</v>
      </c>
      <c r="J111" s="9">
        <f t="shared" si="71"/>
        <v>7119</v>
      </c>
      <c r="K111" s="9">
        <v>0</v>
      </c>
      <c r="L111" s="29">
        <v>7119</v>
      </c>
      <c r="M111" s="10">
        <v>0</v>
      </c>
      <c r="N111" s="27">
        <v>7119</v>
      </c>
      <c r="O111" s="9">
        <v>2100</v>
      </c>
      <c r="P111" s="9">
        <v>2100</v>
      </c>
      <c r="Q111" s="9">
        <v>2100</v>
      </c>
      <c r="R111" s="9">
        <v>2500</v>
      </c>
      <c r="S111" s="9">
        <v>2705</v>
      </c>
      <c r="T111" s="565">
        <v>4200</v>
      </c>
      <c r="U111" s="565">
        <v>0</v>
      </c>
      <c r="V111" s="565">
        <f>SUM(T111:U111)</f>
        <v>4200</v>
      </c>
      <c r="W111" s="565">
        <v>0</v>
      </c>
      <c r="X111" s="565">
        <f>SUM(V111:W111)</f>
        <v>4200</v>
      </c>
      <c r="Y111" s="565">
        <v>800</v>
      </c>
      <c r="Z111" s="565">
        <f>SUM(X111:Y111)</f>
        <v>5000</v>
      </c>
    </row>
    <row r="112" spans="1:26">
      <c r="A112" s="115">
        <v>109</v>
      </c>
      <c r="B112" s="114"/>
      <c r="C112" s="3" t="s">
        <v>39</v>
      </c>
      <c r="D112" s="3"/>
      <c r="E112" s="21"/>
      <c r="F112" s="9">
        <v>0</v>
      </c>
      <c r="G112" s="9">
        <v>0</v>
      </c>
      <c r="H112" s="9">
        <v>0</v>
      </c>
      <c r="I112" s="9">
        <v>0</v>
      </c>
      <c r="J112" s="9">
        <f t="shared" si="71"/>
        <v>0</v>
      </c>
      <c r="K112" s="9">
        <v>0</v>
      </c>
      <c r="L112" s="29">
        <v>0</v>
      </c>
      <c r="M112" s="10">
        <v>0</v>
      </c>
      <c r="N112" s="27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565">
        <v>0</v>
      </c>
      <c r="U112" s="565">
        <v>0</v>
      </c>
      <c r="V112" s="565">
        <v>0</v>
      </c>
      <c r="W112" s="565">
        <v>0</v>
      </c>
      <c r="X112" s="565">
        <v>0</v>
      </c>
      <c r="Y112" s="565">
        <v>0</v>
      </c>
      <c r="Z112" s="565">
        <v>0</v>
      </c>
    </row>
    <row r="113" spans="1:26">
      <c r="A113" s="24">
        <v>110</v>
      </c>
      <c r="B113" s="114"/>
      <c r="C113" s="3" t="s">
        <v>452</v>
      </c>
      <c r="D113" s="3"/>
      <c r="E113" s="21"/>
      <c r="F113" s="9"/>
      <c r="G113" s="3"/>
      <c r="H113" s="9"/>
      <c r="I113" s="9"/>
      <c r="J113" s="9"/>
      <c r="K113" s="9"/>
      <c r="L113" s="29"/>
      <c r="M113" s="49"/>
      <c r="N113" s="106"/>
      <c r="O113" s="9">
        <f t="shared" ref="O113:Z113" si="72">SUM(O114:O117)</f>
        <v>0</v>
      </c>
      <c r="P113" s="135">
        <f t="shared" si="72"/>
        <v>0</v>
      </c>
      <c r="Q113" s="135">
        <f t="shared" si="72"/>
        <v>0</v>
      </c>
      <c r="R113" s="135">
        <f t="shared" si="72"/>
        <v>0</v>
      </c>
      <c r="S113" s="135">
        <f t="shared" si="72"/>
        <v>0</v>
      </c>
      <c r="T113" s="566">
        <f t="shared" si="72"/>
        <v>0</v>
      </c>
      <c r="U113" s="566">
        <f t="shared" si="72"/>
        <v>0</v>
      </c>
      <c r="V113" s="566">
        <f t="shared" si="72"/>
        <v>0</v>
      </c>
      <c r="W113" s="566">
        <f t="shared" si="72"/>
        <v>0</v>
      </c>
      <c r="X113" s="566">
        <f t="shared" si="72"/>
        <v>0</v>
      </c>
      <c r="Y113" s="566">
        <f t="shared" si="72"/>
        <v>0</v>
      </c>
      <c r="Z113" s="566">
        <f t="shared" si="72"/>
        <v>0</v>
      </c>
    </row>
    <row r="114" spans="1:26">
      <c r="A114" s="115">
        <v>111</v>
      </c>
      <c r="B114" s="114"/>
      <c r="C114" s="3"/>
      <c r="D114" s="3" t="s">
        <v>454</v>
      </c>
      <c r="E114" s="21"/>
      <c r="F114" s="9"/>
      <c r="G114" s="3"/>
      <c r="H114" s="9"/>
      <c r="I114" s="9"/>
      <c r="J114" s="9"/>
      <c r="K114" s="9"/>
      <c r="L114" s="29"/>
      <c r="M114" s="49"/>
      <c r="N114" s="106"/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565">
        <v>0</v>
      </c>
      <c r="U114" s="565">
        <v>0</v>
      </c>
      <c r="V114" s="565">
        <v>0</v>
      </c>
      <c r="W114" s="565">
        <v>0</v>
      </c>
      <c r="X114" s="565">
        <v>0</v>
      </c>
      <c r="Y114" s="565">
        <v>0</v>
      </c>
      <c r="Z114" s="565">
        <v>0</v>
      </c>
    </row>
    <row r="115" spans="1:26">
      <c r="A115" s="115">
        <v>112</v>
      </c>
      <c r="B115" s="114"/>
      <c r="C115" s="3"/>
      <c r="D115" s="3" t="s">
        <v>453</v>
      </c>
      <c r="E115" s="21"/>
      <c r="F115" s="9"/>
      <c r="G115" s="3"/>
      <c r="H115" s="9"/>
      <c r="I115" s="9"/>
      <c r="J115" s="9"/>
      <c r="K115" s="9"/>
      <c r="L115" s="29"/>
      <c r="M115" s="49"/>
      <c r="N115" s="106"/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565">
        <v>0</v>
      </c>
      <c r="U115" s="565">
        <v>0</v>
      </c>
      <c r="V115" s="565">
        <v>0</v>
      </c>
      <c r="W115" s="565">
        <v>0</v>
      </c>
      <c r="X115" s="565">
        <v>0</v>
      </c>
      <c r="Y115" s="565">
        <v>0</v>
      </c>
      <c r="Z115" s="565">
        <v>0</v>
      </c>
    </row>
    <row r="116" spans="1:26">
      <c r="A116" s="24">
        <v>113</v>
      </c>
      <c r="B116" s="114"/>
      <c r="C116" s="3"/>
      <c r="D116" s="3" t="s">
        <v>455</v>
      </c>
      <c r="E116" s="21"/>
      <c r="F116" s="9"/>
      <c r="G116" s="3"/>
      <c r="H116" s="9"/>
      <c r="I116" s="9"/>
      <c r="J116" s="9"/>
      <c r="K116" s="9"/>
      <c r="L116" s="29"/>
      <c r="M116" s="49"/>
      <c r="N116" s="106"/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565">
        <v>0</v>
      </c>
      <c r="U116" s="565">
        <v>0</v>
      </c>
      <c r="V116" s="565">
        <v>0</v>
      </c>
      <c r="W116" s="565">
        <v>0</v>
      </c>
      <c r="X116" s="565">
        <v>0</v>
      </c>
      <c r="Y116" s="565">
        <v>0</v>
      </c>
      <c r="Z116" s="565">
        <v>0</v>
      </c>
    </row>
    <row r="117" spans="1:26">
      <c r="A117" s="115">
        <v>114</v>
      </c>
      <c r="B117" s="114"/>
      <c r="C117" s="3"/>
      <c r="D117" s="3" t="s">
        <v>456</v>
      </c>
      <c r="E117" s="21"/>
      <c r="F117" s="9"/>
      <c r="G117" s="3"/>
      <c r="H117" s="9"/>
      <c r="I117" s="9"/>
      <c r="J117" s="9"/>
      <c r="K117" s="9"/>
      <c r="L117" s="29"/>
      <c r="M117" s="49"/>
      <c r="N117" s="106"/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565">
        <v>0</v>
      </c>
      <c r="U117" s="565">
        <v>0</v>
      </c>
      <c r="V117" s="565">
        <v>0</v>
      </c>
      <c r="W117" s="565">
        <v>0</v>
      </c>
      <c r="X117" s="565">
        <v>0</v>
      </c>
      <c r="Y117" s="565">
        <v>0</v>
      </c>
      <c r="Z117" s="565">
        <v>0</v>
      </c>
    </row>
    <row r="118" spans="1:26">
      <c r="A118" s="115">
        <v>115</v>
      </c>
      <c r="B118" s="113" t="s">
        <v>40</v>
      </c>
      <c r="C118" s="16"/>
      <c r="D118" s="16"/>
      <c r="E118" s="17"/>
      <c r="F118" s="11">
        <f>SUM(F119:F122)</f>
        <v>0</v>
      </c>
      <c r="G118" s="11">
        <v>2950</v>
      </c>
      <c r="H118" s="11">
        <v>0</v>
      </c>
      <c r="I118" s="11">
        <v>0</v>
      </c>
      <c r="J118" s="11">
        <f t="shared" si="71"/>
        <v>0</v>
      </c>
      <c r="K118" s="11">
        <v>0</v>
      </c>
      <c r="L118" s="31">
        <v>0</v>
      </c>
      <c r="M118" s="10">
        <v>0</v>
      </c>
      <c r="N118" s="107">
        <v>0</v>
      </c>
      <c r="O118" s="11">
        <v>0</v>
      </c>
      <c r="P118" s="121">
        <f>SUM(P119:P122)</f>
        <v>0</v>
      </c>
      <c r="Q118" s="121">
        <f>SUM(Q119:Q122)</f>
        <v>0</v>
      </c>
      <c r="R118" s="121">
        <f>SUM(R119:R122)</f>
        <v>0</v>
      </c>
      <c r="S118" s="121">
        <f>SUM(S119:S122)</f>
        <v>0</v>
      </c>
      <c r="T118" s="122">
        <f>SUM(T119:T122)</f>
        <v>0</v>
      </c>
      <c r="U118" s="122">
        <v>0</v>
      </c>
      <c r="V118" s="122">
        <v>0</v>
      </c>
      <c r="W118" s="122">
        <v>0</v>
      </c>
      <c r="X118" s="122">
        <v>0</v>
      </c>
      <c r="Y118" s="122">
        <v>0</v>
      </c>
      <c r="Z118" s="122">
        <v>0</v>
      </c>
    </row>
    <row r="119" spans="1:26">
      <c r="A119" s="24">
        <v>116</v>
      </c>
      <c r="B119" s="114"/>
      <c r="C119" s="3" t="s">
        <v>41</v>
      </c>
      <c r="D119" s="3"/>
      <c r="E119" s="7"/>
      <c r="F119" s="9">
        <v>0</v>
      </c>
      <c r="G119" s="9">
        <v>0</v>
      </c>
      <c r="H119" s="9">
        <v>0</v>
      </c>
      <c r="I119" s="9">
        <v>0</v>
      </c>
      <c r="J119" s="9">
        <f t="shared" si="71"/>
        <v>0</v>
      </c>
      <c r="K119" s="9">
        <v>0</v>
      </c>
      <c r="L119" s="29">
        <v>0</v>
      </c>
      <c r="M119" s="10">
        <v>0</v>
      </c>
      <c r="N119" s="106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565">
        <v>0</v>
      </c>
      <c r="U119" s="565">
        <v>0</v>
      </c>
      <c r="V119" s="565">
        <v>0</v>
      </c>
      <c r="W119" s="565">
        <v>0</v>
      </c>
      <c r="X119" s="565">
        <v>0</v>
      </c>
      <c r="Y119" s="565">
        <v>0</v>
      </c>
      <c r="Z119" s="565">
        <v>0</v>
      </c>
    </row>
    <row r="120" spans="1:26">
      <c r="A120" s="115">
        <v>117</v>
      </c>
      <c r="B120" s="114"/>
      <c r="C120" s="3" t="s">
        <v>42</v>
      </c>
      <c r="D120" s="3"/>
      <c r="E120" s="7"/>
      <c r="F120" s="9">
        <v>0</v>
      </c>
      <c r="G120" s="9">
        <v>2950</v>
      </c>
      <c r="H120" s="9">
        <v>0</v>
      </c>
      <c r="I120" s="9">
        <v>0</v>
      </c>
      <c r="J120" s="9">
        <f t="shared" si="71"/>
        <v>0</v>
      </c>
      <c r="K120" s="9">
        <v>0</v>
      </c>
      <c r="L120" s="29">
        <v>0</v>
      </c>
      <c r="M120" s="10">
        <v>0</v>
      </c>
      <c r="N120" s="106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565">
        <v>0</v>
      </c>
      <c r="U120" s="565">
        <v>0</v>
      </c>
      <c r="V120" s="565">
        <v>0</v>
      </c>
      <c r="W120" s="565">
        <v>0</v>
      </c>
      <c r="X120" s="565">
        <v>0</v>
      </c>
      <c r="Y120" s="565">
        <v>0</v>
      </c>
      <c r="Z120" s="565">
        <v>0</v>
      </c>
    </row>
    <row r="121" spans="1:26">
      <c r="A121" s="115">
        <v>118</v>
      </c>
      <c r="B121" s="114"/>
      <c r="C121" s="3" t="s">
        <v>44</v>
      </c>
      <c r="D121" s="3"/>
      <c r="E121" s="7"/>
      <c r="F121" s="9">
        <v>0</v>
      </c>
      <c r="G121" s="9">
        <v>0</v>
      </c>
      <c r="H121" s="9">
        <v>0</v>
      </c>
      <c r="I121" s="9">
        <v>0</v>
      </c>
      <c r="J121" s="9">
        <f t="shared" si="71"/>
        <v>0</v>
      </c>
      <c r="K121" s="9">
        <v>0</v>
      </c>
      <c r="L121" s="29">
        <v>0</v>
      </c>
      <c r="M121" s="10">
        <v>0</v>
      </c>
      <c r="N121" s="106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565">
        <v>0</v>
      </c>
      <c r="U121" s="565">
        <v>0</v>
      </c>
      <c r="V121" s="565">
        <v>0</v>
      </c>
      <c r="W121" s="565">
        <v>0</v>
      </c>
      <c r="X121" s="565">
        <v>0</v>
      </c>
      <c r="Y121" s="565">
        <v>0</v>
      </c>
      <c r="Z121" s="565">
        <v>0</v>
      </c>
    </row>
    <row r="122" spans="1:26">
      <c r="A122" s="24">
        <v>119</v>
      </c>
      <c r="B122" s="114"/>
      <c r="C122" s="3" t="s">
        <v>43</v>
      </c>
      <c r="D122" s="3"/>
      <c r="E122" s="7"/>
      <c r="F122" s="9">
        <v>0</v>
      </c>
      <c r="G122" s="9">
        <v>0</v>
      </c>
      <c r="H122" s="9">
        <v>0</v>
      </c>
      <c r="I122" s="9">
        <v>0</v>
      </c>
      <c r="J122" s="9">
        <f t="shared" si="71"/>
        <v>0</v>
      </c>
      <c r="K122" s="9">
        <v>0</v>
      </c>
      <c r="L122" s="29">
        <v>0</v>
      </c>
      <c r="M122" s="10">
        <v>0</v>
      </c>
      <c r="N122" s="106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565">
        <v>0</v>
      </c>
      <c r="U122" s="565">
        <v>0</v>
      </c>
      <c r="V122" s="565">
        <v>0</v>
      </c>
      <c r="W122" s="565">
        <v>0</v>
      </c>
      <c r="X122" s="565">
        <v>0</v>
      </c>
      <c r="Y122" s="565">
        <v>0</v>
      </c>
      <c r="Z122" s="565">
        <v>0</v>
      </c>
    </row>
    <row r="123" spans="1:26">
      <c r="A123" s="115">
        <v>120</v>
      </c>
      <c r="B123" s="113" t="s">
        <v>45</v>
      </c>
      <c r="C123" s="16"/>
      <c r="D123" s="16"/>
      <c r="E123" s="17"/>
      <c r="F123" s="11">
        <f>+F124+F125</f>
        <v>73697</v>
      </c>
      <c r="G123" s="11">
        <f>+G124+G125</f>
        <v>74986</v>
      </c>
      <c r="H123" s="11">
        <v>84728</v>
      </c>
      <c r="I123" s="11">
        <f>I124+I125</f>
        <v>19541</v>
      </c>
      <c r="J123" s="11">
        <f t="shared" si="71"/>
        <v>104269</v>
      </c>
      <c r="K123" s="11">
        <f>K124+K125</f>
        <v>2478</v>
      </c>
      <c r="L123" s="31">
        <f>L124+L125</f>
        <v>106747</v>
      </c>
      <c r="M123" s="85">
        <f t="shared" ref="M123" si="73">M124+M125</f>
        <v>12604</v>
      </c>
      <c r="N123" s="85">
        <f>L123+M123</f>
        <v>119351</v>
      </c>
      <c r="O123" s="11">
        <f>O124+O125</f>
        <v>95000</v>
      </c>
      <c r="P123" s="121">
        <f>SUM(P124:P125)</f>
        <v>79460</v>
      </c>
      <c r="Q123" s="121">
        <f>SUM(Q124:Q125)</f>
        <v>95507</v>
      </c>
      <c r="R123" s="121">
        <f>SUM(R124:R125)</f>
        <v>120050</v>
      </c>
      <c r="S123" s="121">
        <f>SUM(S124:S125)</f>
        <v>145212</v>
      </c>
      <c r="T123" s="122">
        <f>SUM(T124:T125)</f>
        <v>133397</v>
      </c>
      <c r="U123" s="122">
        <f t="shared" ref="U123:W123" si="74">U124+U125</f>
        <v>4698</v>
      </c>
      <c r="V123" s="122">
        <f>T123+U123</f>
        <v>138095</v>
      </c>
      <c r="W123" s="122">
        <f t="shared" si="74"/>
        <v>0</v>
      </c>
      <c r="X123" s="122">
        <f>V123+W123</f>
        <v>138095</v>
      </c>
      <c r="Y123" s="122">
        <f t="shared" ref="Y123" si="75">Y124+Y125</f>
        <v>0</v>
      </c>
      <c r="Z123" s="122">
        <f>X123+Y123</f>
        <v>138095</v>
      </c>
    </row>
    <row r="124" spans="1:26">
      <c r="A124" s="115">
        <v>121</v>
      </c>
      <c r="B124" s="114"/>
      <c r="C124" s="3" t="s">
        <v>46</v>
      </c>
      <c r="D124" s="3"/>
      <c r="E124" s="7"/>
      <c r="F124" s="9">
        <v>0</v>
      </c>
      <c r="G124" s="9">
        <v>717</v>
      </c>
      <c r="H124" s="9">
        <v>0</v>
      </c>
      <c r="I124" s="9">
        <v>16225</v>
      </c>
      <c r="J124" s="9">
        <f t="shared" si="71"/>
        <v>16225</v>
      </c>
      <c r="K124" s="9">
        <v>0</v>
      </c>
      <c r="L124" s="29">
        <v>16225</v>
      </c>
      <c r="M124" s="10">
        <v>0</v>
      </c>
      <c r="N124" s="27">
        <v>16225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565">
        <v>0</v>
      </c>
      <c r="U124" s="565">
        <v>4698</v>
      </c>
      <c r="V124" s="565">
        <f>SUM(T124:U124)</f>
        <v>4698</v>
      </c>
      <c r="W124" s="565">
        <v>0</v>
      </c>
      <c r="X124" s="565">
        <f>SUM(V124:W124)</f>
        <v>4698</v>
      </c>
      <c r="Y124" s="565">
        <v>0</v>
      </c>
      <c r="Z124" s="565">
        <f>SUM(X124:Y124)</f>
        <v>4698</v>
      </c>
    </row>
    <row r="125" spans="1:26">
      <c r="A125" s="24">
        <v>122</v>
      </c>
      <c r="B125" s="114"/>
      <c r="C125" s="3" t="s">
        <v>50</v>
      </c>
      <c r="D125" s="3"/>
      <c r="E125" s="7"/>
      <c r="F125" s="9">
        <v>73697</v>
      </c>
      <c r="G125" s="9">
        <v>74269</v>
      </c>
      <c r="H125" s="9">
        <v>84728</v>
      </c>
      <c r="I125" s="9">
        <v>3316</v>
      </c>
      <c r="J125" s="9">
        <f t="shared" si="71"/>
        <v>88044</v>
      </c>
      <c r="K125" s="9">
        <f>2478</f>
        <v>2478</v>
      </c>
      <c r="L125" s="29">
        <f>K125+J125</f>
        <v>90522</v>
      </c>
      <c r="M125" s="10">
        <v>12604</v>
      </c>
      <c r="N125" s="27">
        <f>L125+M125</f>
        <v>103126</v>
      </c>
      <c r="O125" s="9">
        <v>95000</v>
      </c>
      <c r="P125" s="9">
        <v>79460</v>
      </c>
      <c r="Q125" s="9">
        <v>95507</v>
      </c>
      <c r="R125" s="9">
        <v>120050</v>
      </c>
      <c r="S125" s="9">
        <v>145212</v>
      </c>
      <c r="T125" s="565">
        <v>133397</v>
      </c>
      <c r="U125" s="565">
        <v>0</v>
      </c>
      <c r="V125" s="565">
        <f>SUM(T125:U125)</f>
        <v>133397</v>
      </c>
      <c r="W125" s="565">
        <v>0</v>
      </c>
      <c r="X125" s="565">
        <f>SUM(V125:W125)</f>
        <v>133397</v>
      </c>
      <c r="Y125" s="565">
        <v>0</v>
      </c>
      <c r="Z125" s="565">
        <f>SUM(X125:Y125)</f>
        <v>133397</v>
      </c>
    </row>
    <row r="126" spans="1:26" ht="14.25" customHeight="1">
      <c r="A126" s="115">
        <v>123</v>
      </c>
      <c r="B126" s="113" t="s">
        <v>19</v>
      </c>
      <c r="C126" s="16"/>
      <c r="D126" s="16"/>
      <c r="E126" s="17"/>
      <c r="F126" s="11">
        <f>+F123+F118+F100</f>
        <v>78235</v>
      </c>
      <c r="G126" s="11">
        <f>+G123+G118+G100</f>
        <v>121852</v>
      </c>
      <c r="H126" s="11">
        <f t="shared" ref="H126:N126" si="76">H123+H100</f>
        <v>86828</v>
      </c>
      <c r="I126" s="11">
        <f t="shared" si="76"/>
        <v>26128</v>
      </c>
      <c r="J126" s="11">
        <f t="shared" si="76"/>
        <v>112956</v>
      </c>
      <c r="K126" s="11">
        <f t="shared" si="76"/>
        <v>6674</v>
      </c>
      <c r="L126" s="31">
        <f t="shared" si="76"/>
        <v>119630</v>
      </c>
      <c r="M126" s="8">
        <f t="shared" si="76"/>
        <v>17181</v>
      </c>
      <c r="N126" s="85">
        <f t="shared" si="76"/>
        <v>136811</v>
      </c>
      <c r="O126" s="11">
        <f>O100+O123+O118</f>
        <v>97100</v>
      </c>
      <c r="P126" s="121">
        <f>SUM(P123,P118,P100)</f>
        <v>81560</v>
      </c>
      <c r="Q126" s="121">
        <f>SUM(Q123,Q118,Q100)</f>
        <v>97607</v>
      </c>
      <c r="R126" s="121">
        <f>SUM(R123,R118,R100)</f>
        <v>122550</v>
      </c>
      <c r="S126" s="121">
        <f>SUM(S123,S118,S100)</f>
        <v>147917</v>
      </c>
      <c r="T126" s="122">
        <f>SUM(T123,T118,T100)</f>
        <v>137597</v>
      </c>
      <c r="U126" s="122">
        <f>U123+U100</f>
        <v>8870</v>
      </c>
      <c r="V126" s="122">
        <f t="shared" ref="V126:X126" si="77">V123+V100</f>
        <v>146467</v>
      </c>
      <c r="W126" s="122">
        <f>W123+W100</f>
        <v>4095</v>
      </c>
      <c r="X126" s="122">
        <f t="shared" si="77"/>
        <v>150562</v>
      </c>
      <c r="Y126" s="122">
        <f>Y123+Y100</f>
        <v>3078</v>
      </c>
      <c r="Z126" s="122">
        <f t="shared" ref="Z126" si="78">Z123+Z100</f>
        <v>153640</v>
      </c>
    </row>
    <row r="127" spans="1:26" ht="78" customHeight="1">
      <c r="A127" s="115">
        <v>124</v>
      </c>
      <c r="B127" s="113" t="s">
        <v>100</v>
      </c>
      <c r="C127" s="3"/>
      <c r="D127" s="3"/>
      <c r="E127" s="7"/>
      <c r="F127" s="15" t="s">
        <v>107</v>
      </c>
      <c r="G127" s="6" t="s">
        <v>113</v>
      </c>
      <c r="H127" s="6" t="s">
        <v>112</v>
      </c>
      <c r="I127" s="24" t="s">
        <v>111</v>
      </c>
      <c r="J127" s="6" t="s">
        <v>115</v>
      </c>
      <c r="K127" s="24" t="s">
        <v>111</v>
      </c>
      <c r="L127" s="76" t="s">
        <v>255</v>
      </c>
      <c r="M127" s="86" t="s">
        <v>111</v>
      </c>
      <c r="N127" s="76" t="s">
        <v>260</v>
      </c>
      <c r="O127" s="6" t="str">
        <f>$O$4</f>
        <v>Előirányzat
4/2020. (III.05.) önkormányzati rendelet</v>
      </c>
      <c r="P127" s="6" t="s">
        <v>460</v>
      </c>
      <c r="Q127" s="6" t="str">
        <f>Q$4</f>
        <v>Előirányzat
3/2022. (II.10.) önkormányzati rendelet</v>
      </c>
      <c r="R127" s="6" t="str">
        <f>R$4</f>
        <v>Előirányzat
1./2023. (II.23.) önkormányzati rendelet</v>
      </c>
      <c r="S127" s="6" t="str">
        <f>S$4</f>
        <v>Előirányzat
1./2024. (II)22. önkormányzati rendelet</v>
      </c>
      <c r="T127" s="562" t="str">
        <f>T$4</f>
        <v>Előirányzat
2/2025. (II.20.) önkormányzati rendelet</v>
      </c>
      <c r="U127" s="562" t="s">
        <v>111</v>
      </c>
      <c r="V127" s="562" t="str">
        <f>V4</f>
        <v>Előirányzat 13/2025. (VI.26.) önkormányzati rendelet</v>
      </c>
      <c r="W127" s="562" t="s">
        <v>111</v>
      </c>
      <c r="X127" s="562" t="str">
        <f>X4</f>
        <v>Előirányzat 16/2025. (IX.25.) önkormányzati rendelet</v>
      </c>
      <c r="Y127" s="562" t="s">
        <v>111</v>
      </c>
      <c r="Z127" s="562" t="str">
        <f>Z4</f>
        <v>Módosított előirányzat</v>
      </c>
    </row>
    <row r="128" spans="1:26">
      <c r="A128" s="24">
        <v>125</v>
      </c>
      <c r="B128" s="113" t="s">
        <v>25</v>
      </c>
      <c r="C128" s="3"/>
      <c r="D128" s="3"/>
      <c r="E128" s="7"/>
      <c r="F128" s="9"/>
      <c r="G128" s="3"/>
      <c r="H128" s="9"/>
      <c r="I128" s="3"/>
      <c r="J128" s="3"/>
      <c r="K128" s="3"/>
      <c r="L128" s="26"/>
      <c r="M128" s="49"/>
      <c r="N128" s="106"/>
      <c r="O128" s="9"/>
      <c r="P128" s="9"/>
      <c r="Q128" s="9"/>
      <c r="R128" s="9"/>
      <c r="S128" s="9"/>
      <c r="T128" s="565"/>
      <c r="U128" s="565"/>
      <c r="V128" s="565"/>
      <c r="W128" s="565"/>
      <c r="X128" s="565"/>
      <c r="Y128" s="565"/>
      <c r="Z128" s="565"/>
    </row>
    <row r="129" spans="1:26">
      <c r="A129" s="115">
        <v>126</v>
      </c>
      <c r="B129" s="113"/>
      <c r="C129" s="3" t="s">
        <v>26</v>
      </c>
      <c r="D129" s="3"/>
      <c r="E129" s="7"/>
      <c r="F129" s="9"/>
      <c r="G129" s="3"/>
      <c r="H129" s="9"/>
      <c r="I129" s="3"/>
      <c r="J129" s="3"/>
      <c r="K129" s="3"/>
      <c r="L129" s="26"/>
      <c r="M129" s="49"/>
      <c r="N129" s="106"/>
      <c r="O129" s="9"/>
      <c r="P129" s="9"/>
      <c r="Q129" s="9"/>
      <c r="R129" s="9"/>
      <c r="S129" s="9"/>
      <c r="T129" s="565"/>
      <c r="U129" s="565"/>
      <c r="V129" s="565"/>
      <c r="W129" s="565"/>
      <c r="X129" s="565"/>
      <c r="Y129" s="565"/>
      <c r="Z129" s="565"/>
    </row>
    <row r="130" spans="1:26">
      <c r="A130" s="115">
        <v>127</v>
      </c>
      <c r="B130" s="113" t="s">
        <v>28</v>
      </c>
      <c r="C130" s="16"/>
      <c r="D130" s="16"/>
      <c r="E130" s="17"/>
      <c r="F130" s="11">
        <f>+F131+F141+F142</f>
        <v>110135</v>
      </c>
      <c r="G130" s="11">
        <f>+G131+G141+G142</f>
        <v>121144</v>
      </c>
      <c r="H130" s="11">
        <f>H131+H141+H142</f>
        <v>115951</v>
      </c>
      <c r="I130" s="11">
        <v>712</v>
      </c>
      <c r="J130" s="11">
        <f>I130+H130</f>
        <v>116663</v>
      </c>
      <c r="K130" s="11">
        <v>951</v>
      </c>
      <c r="L130" s="31">
        <f>K130+J130</f>
        <v>117614</v>
      </c>
      <c r="M130" s="87">
        <v>0</v>
      </c>
      <c r="N130" s="85">
        <v>117614</v>
      </c>
      <c r="O130" s="11">
        <f t="shared" ref="O130:U130" si="79">SUM(O131,O141,O142,O143)</f>
        <v>56813</v>
      </c>
      <c r="P130" s="121">
        <f t="shared" si="79"/>
        <v>171563</v>
      </c>
      <c r="Q130" s="121">
        <f t="shared" si="79"/>
        <v>187784</v>
      </c>
      <c r="R130" s="121">
        <f t="shared" si="79"/>
        <v>129189</v>
      </c>
      <c r="S130" s="121">
        <f t="shared" si="79"/>
        <v>159614</v>
      </c>
      <c r="T130" s="122">
        <f t="shared" si="79"/>
        <v>161922</v>
      </c>
      <c r="U130" s="122">
        <f t="shared" si="79"/>
        <v>6765</v>
      </c>
      <c r="V130" s="122">
        <f>SUM(T130:U130)</f>
        <v>168687</v>
      </c>
      <c r="W130" s="122">
        <f t="shared" ref="W130:Y130" si="80">SUM(W131,W141,W142,W143)</f>
        <v>12816</v>
      </c>
      <c r="X130" s="122">
        <f>SUM(V130:W130)</f>
        <v>181503</v>
      </c>
      <c r="Y130" s="122">
        <f t="shared" si="80"/>
        <v>0</v>
      </c>
      <c r="Z130" s="122">
        <f>SUM(X130:Y130)</f>
        <v>181503</v>
      </c>
    </row>
    <row r="131" spans="1:26">
      <c r="A131" s="24">
        <v>128</v>
      </c>
      <c r="B131" s="114"/>
      <c r="C131" s="3" t="s">
        <v>29</v>
      </c>
      <c r="D131" s="3"/>
      <c r="E131" s="7"/>
      <c r="F131" s="9">
        <v>55242</v>
      </c>
      <c r="G131" s="9">
        <v>63639</v>
      </c>
      <c r="H131" s="9">
        <v>59517</v>
      </c>
      <c r="I131" s="9">
        <v>712</v>
      </c>
      <c r="J131" s="9">
        <f>I131+H131</f>
        <v>60229</v>
      </c>
      <c r="K131" s="9">
        <v>951</v>
      </c>
      <c r="L131" s="29">
        <f>K131+J131</f>
        <v>61180</v>
      </c>
      <c r="M131" s="49">
        <v>0</v>
      </c>
      <c r="N131" s="27">
        <v>61180</v>
      </c>
      <c r="O131" s="9">
        <v>0</v>
      </c>
      <c r="P131" s="135">
        <f t="shared" ref="P131:U131" si="81">SUM(P132,P139:P140)</f>
        <v>97351</v>
      </c>
      <c r="Q131" s="135">
        <f t="shared" si="81"/>
        <v>113572</v>
      </c>
      <c r="R131" s="135">
        <f t="shared" si="81"/>
        <v>56998</v>
      </c>
      <c r="S131" s="135">
        <f t="shared" si="81"/>
        <v>65196</v>
      </c>
      <c r="T131" s="566">
        <f t="shared" si="81"/>
        <v>66885</v>
      </c>
      <c r="U131" s="566">
        <f t="shared" si="81"/>
        <v>6765</v>
      </c>
      <c r="V131" s="566">
        <f>SUM(T131:U131)</f>
        <v>73650</v>
      </c>
      <c r="W131" s="566">
        <f t="shared" ref="W131:Y131" si="82">SUM(W132,W139:W140)</f>
        <v>3730</v>
      </c>
      <c r="X131" s="566">
        <f>SUM(V131:W131)</f>
        <v>77380</v>
      </c>
      <c r="Y131" s="566">
        <f t="shared" si="82"/>
        <v>0</v>
      </c>
      <c r="Z131" s="566">
        <f>SUM(X131:Y131)</f>
        <v>77380</v>
      </c>
    </row>
    <row r="132" spans="1:26">
      <c r="A132" s="115">
        <v>129</v>
      </c>
      <c r="B132" s="114"/>
      <c r="C132" s="3"/>
      <c r="D132" s="3" t="s">
        <v>36</v>
      </c>
      <c r="E132" s="7"/>
      <c r="F132" s="9">
        <f>SUM(F133:F138)</f>
        <v>0</v>
      </c>
      <c r="G132" s="3">
        <v>0</v>
      </c>
      <c r="H132" s="9">
        <v>0</v>
      </c>
      <c r="I132" s="9">
        <v>0</v>
      </c>
      <c r="J132" s="9">
        <f>H132+I132</f>
        <v>0</v>
      </c>
      <c r="K132" s="9">
        <v>0</v>
      </c>
      <c r="L132" s="29">
        <v>0</v>
      </c>
      <c r="M132" s="49">
        <v>0</v>
      </c>
      <c r="N132" s="106">
        <v>0</v>
      </c>
      <c r="O132" s="9">
        <v>0</v>
      </c>
      <c r="P132" s="110">
        <f t="shared" ref="P132:Z132" si="83">SUM(P133:P138)</f>
        <v>0</v>
      </c>
      <c r="Q132" s="110">
        <f t="shared" si="83"/>
        <v>0</v>
      </c>
      <c r="R132" s="110">
        <f t="shared" si="83"/>
        <v>0</v>
      </c>
      <c r="S132" s="110">
        <f t="shared" si="83"/>
        <v>0</v>
      </c>
      <c r="T132" s="571">
        <f t="shared" si="83"/>
        <v>0</v>
      </c>
      <c r="U132" s="571">
        <f t="shared" si="83"/>
        <v>0</v>
      </c>
      <c r="V132" s="571">
        <f t="shared" si="83"/>
        <v>0</v>
      </c>
      <c r="W132" s="571">
        <f t="shared" si="83"/>
        <v>0</v>
      </c>
      <c r="X132" s="571">
        <f t="shared" si="83"/>
        <v>0</v>
      </c>
      <c r="Y132" s="571">
        <f t="shared" si="83"/>
        <v>0</v>
      </c>
      <c r="Z132" s="571">
        <f t="shared" si="83"/>
        <v>0</v>
      </c>
    </row>
    <row r="133" spans="1:26">
      <c r="A133" s="115">
        <v>130</v>
      </c>
      <c r="B133" s="114"/>
      <c r="C133" s="3"/>
      <c r="D133" s="3"/>
      <c r="E133" s="18" t="s">
        <v>30</v>
      </c>
      <c r="F133" s="9">
        <v>0</v>
      </c>
      <c r="G133" s="3">
        <v>0</v>
      </c>
      <c r="H133" s="9">
        <v>0</v>
      </c>
      <c r="I133" s="9">
        <v>0</v>
      </c>
      <c r="J133" s="9">
        <f t="shared" ref="J133:J156" si="84">H133+I133</f>
        <v>0</v>
      </c>
      <c r="K133" s="9">
        <v>0</v>
      </c>
      <c r="L133" s="29">
        <v>0</v>
      </c>
      <c r="M133" s="49">
        <v>0</v>
      </c>
      <c r="N133" s="106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565">
        <v>0</v>
      </c>
      <c r="U133" s="565">
        <v>0</v>
      </c>
      <c r="V133" s="565">
        <f>SUM(T133:U133)</f>
        <v>0</v>
      </c>
      <c r="W133" s="565">
        <v>0</v>
      </c>
      <c r="X133" s="565">
        <f>SUM(V133:W133)</f>
        <v>0</v>
      </c>
      <c r="Y133" s="565">
        <v>0</v>
      </c>
      <c r="Z133" s="565">
        <f>SUM(X133:Y133)</f>
        <v>0</v>
      </c>
    </row>
    <row r="134" spans="1:26">
      <c r="A134" s="24">
        <v>131</v>
      </c>
      <c r="B134" s="114"/>
      <c r="C134" s="3"/>
      <c r="D134" s="3"/>
      <c r="E134" s="18" t="s">
        <v>31</v>
      </c>
      <c r="F134" s="9">
        <v>0</v>
      </c>
      <c r="G134" s="3">
        <v>0</v>
      </c>
      <c r="H134" s="9">
        <v>0</v>
      </c>
      <c r="I134" s="9">
        <v>0</v>
      </c>
      <c r="J134" s="9">
        <f t="shared" si="84"/>
        <v>0</v>
      </c>
      <c r="K134" s="9">
        <v>0</v>
      </c>
      <c r="L134" s="29">
        <v>0</v>
      </c>
      <c r="M134" s="49">
        <v>0</v>
      </c>
      <c r="N134" s="106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565">
        <v>0</v>
      </c>
      <c r="U134" s="565">
        <v>0</v>
      </c>
      <c r="V134" s="565">
        <f t="shared" ref="V134:V155" si="85">SUM(T134:U134)</f>
        <v>0</v>
      </c>
      <c r="W134" s="565">
        <v>0</v>
      </c>
      <c r="X134" s="565">
        <f t="shared" ref="X134:X142" si="86">SUM(V134:W134)</f>
        <v>0</v>
      </c>
      <c r="Y134" s="565">
        <v>0</v>
      </c>
      <c r="Z134" s="565">
        <f t="shared" ref="Z134:Z142" si="87">SUM(X134:Y134)</f>
        <v>0</v>
      </c>
    </row>
    <row r="135" spans="1:26" ht="30">
      <c r="A135" s="115">
        <v>132</v>
      </c>
      <c r="B135" s="114"/>
      <c r="C135" s="3"/>
      <c r="D135" s="3"/>
      <c r="E135" s="20" t="s">
        <v>32</v>
      </c>
      <c r="F135" s="9">
        <v>0</v>
      </c>
      <c r="G135" s="3">
        <v>0</v>
      </c>
      <c r="H135" s="9">
        <v>0</v>
      </c>
      <c r="I135" s="9">
        <v>0</v>
      </c>
      <c r="J135" s="9">
        <f t="shared" si="84"/>
        <v>0</v>
      </c>
      <c r="K135" s="9">
        <v>0</v>
      </c>
      <c r="L135" s="29">
        <v>0</v>
      </c>
      <c r="M135" s="49">
        <v>0</v>
      </c>
      <c r="N135" s="106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565">
        <v>0</v>
      </c>
      <c r="U135" s="565">
        <v>0</v>
      </c>
      <c r="V135" s="565">
        <f t="shared" si="85"/>
        <v>0</v>
      </c>
      <c r="W135" s="565">
        <v>0</v>
      </c>
      <c r="X135" s="565">
        <f t="shared" si="86"/>
        <v>0</v>
      </c>
      <c r="Y135" s="565">
        <v>0</v>
      </c>
      <c r="Z135" s="565">
        <f t="shared" si="87"/>
        <v>0</v>
      </c>
    </row>
    <row r="136" spans="1:26">
      <c r="A136" s="115">
        <v>133</v>
      </c>
      <c r="B136" s="114"/>
      <c r="C136" s="3"/>
      <c r="D136" s="3"/>
      <c r="E136" s="20" t="s">
        <v>33</v>
      </c>
      <c r="F136" s="9">
        <v>0</v>
      </c>
      <c r="G136" s="3">
        <v>0</v>
      </c>
      <c r="H136" s="9">
        <v>0</v>
      </c>
      <c r="I136" s="9">
        <v>0</v>
      </c>
      <c r="J136" s="9">
        <f t="shared" si="84"/>
        <v>0</v>
      </c>
      <c r="K136" s="9">
        <v>0</v>
      </c>
      <c r="L136" s="29">
        <v>0</v>
      </c>
      <c r="M136" s="49">
        <v>0</v>
      </c>
      <c r="N136" s="106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565">
        <v>0</v>
      </c>
      <c r="U136" s="565">
        <v>0</v>
      </c>
      <c r="V136" s="565">
        <f t="shared" si="85"/>
        <v>0</v>
      </c>
      <c r="W136" s="565">
        <v>0</v>
      </c>
      <c r="X136" s="565">
        <f t="shared" si="86"/>
        <v>0</v>
      </c>
      <c r="Y136" s="565">
        <v>0</v>
      </c>
      <c r="Z136" s="565">
        <f t="shared" si="87"/>
        <v>0</v>
      </c>
    </row>
    <row r="137" spans="1:26">
      <c r="A137" s="24">
        <v>134</v>
      </c>
      <c r="B137" s="114"/>
      <c r="C137" s="3"/>
      <c r="D137" s="3"/>
      <c r="E137" s="20" t="s">
        <v>34</v>
      </c>
      <c r="F137" s="9">
        <v>0</v>
      </c>
      <c r="G137" s="3">
        <v>0</v>
      </c>
      <c r="H137" s="9">
        <v>0</v>
      </c>
      <c r="I137" s="9">
        <v>0</v>
      </c>
      <c r="J137" s="9">
        <f t="shared" si="84"/>
        <v>0</v>
      </c>
      <c r="K137" s="9">
        <v>0</v>
      </c>
      <c r="L137" s="29">
        <v>0</v>
      </c>
      <c r="M137" s="49">
        <v>0</v>
      </c>
      <c r="N137" s="106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565">
        <v>0</v>
      </c>
      <c r="U137" s="565">
        <v>0</v>
      </c>
      <c r="V137" s="565">
        <f t="shared" si="85"/>
        <v>0</v>
      </c>
      <c r="W137" s="565">
        <v>0</v>
      </c>
      <c r="X137" s="565">
        <f t="shared" si="86"/>
        <v>0</v>
      </c>
      <c r="Y137" s="565">
        <v>0</v>
      </c>
      <c r="Z137" s="565">
        <f t="shared" si="87"/>
        <v>0</v>
      </c>
    </row>
    <row r="138" spans="1:26">
      <c r="A138" s="115">
        <v>135</v>
      </c>
      <c r="B138" s="114"/>
      <c r="C138" s="3"/>
      <c r="D138" s="3"/>
      <c r="E138" s="20" t="s">
        <v>35</v>
      </c>
      <c r="F138" s="9">
        <v>0</v>
      </c>
      <c r="G138" s="3">
        <v>0</v>
      </c>
      <c r="H138" s="9">
        <v>0</v>
      </c>
      <c r="I138" s="9">
        <v>0</v>
      </c>
      <c r="J138" s="9">
        <f t="shared" si="84"/>
        <v>0</v>
      </c>
      <c r="K138" s="9">
        <v>0</v>
      </c>
      <c r="L138" s="29">
        <v>0</v>
      </c>
      <c r="M138" s="49">
        <v>0</v>
      </c>
      <c r="N138" s="106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565">
        <v>0</v>
      </c>
      <c r="U138" s="565">
        <v>0</v>
      </c>
      <c r="V138" s="565">
        <f t="shared" si="85"/>
        <v>0</v>
      </c>
      <c r="W138" s="565">
        <v>0</v>
      </c>
      <c r="X138" s="565">
        <f t="shared" si="86"/>
        <v>0</v>
      </c>
      <c r="Y138" s="565">
        <v>0</v>
      </c>
      <c r="Z138" s="565">
        <f t="shared" si="87"/>
        <v>0</v>
      </c>
    </row>
    <row r="139" spans="1:26">
      <c r="A139" s="115">
        <v>136</v>
      </c>
      <c r="B139" s="114"/>
      <c r="C139" s="3"/>
      <c r="D139" s="3" t="s">
        <v>47</v>
      </c>
      <c r="E139" s="21"/>
      <c r="F139" s="9">
        <v>0</v>
      </c>
      <c r="G139" s="3">
        <v>0</v>
      </c>
      <c r="H139" s="9">
        <v>0</v>
      </c>
      <c r="I139" s="9">
        <v>0</v>
      </c>
      <c r="J139" s="9">
        <f>H139+I139</f>
        <v>0</v>
      </c>
      <c r="K139" s="9">
        <v>0</v>
      </c>
      <c r="L139" s="29">
        <v>0</v>
      </c>
      <c r="M139" s="49">
        <v>0</v>
      </c>
      <c r="N139" s="106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565">
        <v>0</v>
      </c>
      <c r="U139" s="565">
        <v>0</v>
      </c>
      <c r="V139" s="565">
        <f t="shared" si="85"/>
        <v>0</v>
      </c>
      <c r="W139" s="565">
        <v>0</v>
      </c>
      <c r="X139" s="565">
        <f t="shared" si="86"/>
        <v>0</v>
      </c>
      <c r="Y139" s="565">
        <v>0</v>
      </c>
      <c r="Z139" s="565">
        <f t="shared" si="87"/>
        <v>0</v>
      </c>
    </row>
    <row r="140" spans="1:26">
      <c r="A140" s="24">
        <v>137</v>
      </c>
      <c r="B140" s="114"/>
      <c r="C140" s="3"/>
      <c r="D140" s="3" t="s">
        <v>37</v>
      </c>
      <c r="E140" s="21"/>
      <c r="F140" s="9">
        <v>55242</v>
      </c>
      <c r="G140" s="9">
        <v>63639</v>
      </c>
      <c r="H140" s="9">
        <v>59517</v>
      </c>
      <c r="I140" s="9">
        <v>712</v>
      </c>
      <c r="J140" s="9">
        <f>H140+I140</f>
        <v>60229</v>
      </c>
      <c r="K140" s="9">
        <v>951</v>
      </c>
      <c r="L140" s="29">
        <f>K140+J140</f>
        <v>61180</v>
      </c>
      <c r="M140" s="49">
        <v>0</v>
      </c>
      <c r="N140" s="27">
        <v>61180</v>
      </c>
      <c r="O140" s="9">
        <v>72000</v>
      </c>
      <c r="P140" s="9">
        <v>97351</v>
      </c>
      <c r="Q140" s="9">
        <v>113572</v>
      </c>
      <c r="R140" s="9">
        <v>56998</v>
      </c>
      <c r="S140" s="9">
        <v>65196</v>
      </c>
      <c r="T140" s="565">
        <v>66885</v>
      </c>
      <c r="U140" s="565">
        <v>6765</v>
      </c>
      <c r="V140" s="565">
        <f t="shared" si="85"/>
        <v>73650</v>
      </c>
      <c r="W140" s="565">
        <v>3730</v>
      </c>
      <c r="X140" s="565">
        <f t="shared" si="86"/>
        <v>77380</v>
      </c>
      <c r="Y140" s="565">
        <v>0</v>
      </c>
      <c r="Z140" s="565">
        <f t="shared" si="87"/>
        <v>77380</v>
      </c>
    </row>
    <row r="141" spans="1:26">
      <c r="A141" s="115">
        <v>138</v>
      </c>
      <c r="B141" s="114"/>
      <c r="C141" s="3" t="s">
        <v>38</v>
      </c>
      <c r="D141" s="3"/>
      <c r="E141" s="21"/>
      <c r="F141" s="9">
        <v>54893</v>
      </c>
      <c r="G141" s="9">
        <v>57505</v>
      </c>
      <c r="H141" s="9">
        <v>56434</v>
      </c>
      <c r="I141" s="11">
        <v>0</v>
      </c>
      <c r="J141" s="11">
        <f t="shared" si="84"/>
        <v>56434</v>
      </c>
      <c r="K141" s="11">
        <v>0</v>
      </c>
      <c r="L141" s="31">
        <v>56434</v>
      </c>
      <c r="M141" s="87">
        <v>0</v>
      </c>
      <c r="N141" s="27">
        <v>56434</v>
      </c>
      <c r="O141" s="9">
        <v>56813</v>
      </c>
      <c r="P141" s="9">
        <v>74212</v>
      </c>
      <c r="Q141" s="9">
        <v>74212</v>
      </c>
      <c r="R141" s="9">
        <v>72191</v>
      </c>
      <c r="S141" s="9">
        <v>94418</v>
      </c>
      <c r="T141" s="565">
        <v>95037</v>
      </c>
      <c r="U141" s="565">
        <v>0</v>
      </c>
      <c r="V141" s="565">
        <f t="shared" si="85"/>
        <v>95037</v>
      </c>
      <c r="W141" s="565">
        <v>9086</v>
      </c>
      <c r="X141" s="565">
        <f t="shared" si="86"/>
        <v>104123</v>
      </c>
      <c r="Y141" s="565">
        <v>0</v>
      </c>
      <c r="Z141" s="565">
        <f t="shared" si="87"/>
        <v>104123</v>
      </c>
    </row>
    <row r="142" spans="1:26">
      <c r="A142" s="115">
        <v>139</v>
      </c>
      <c r="B142" s="114"/>
      <c r="C142" s="3" t="s">
        <v>39</v>
      </c>
      <c r="D142" s="3"/>
      <c r="E142" s="21"/>
      <c r="F142" s="9">
        <v>0</v>
      </c>
      <c r="G142" s="3">
        <v>0</v>
      </c>
      <c r="H142" s="9">
        <v>0</v>
      </c>
      <c r="I142" s="9">
        <v>0</v>
      </c>
      <c r="J142" s="9">
        <f t="shared" si="84"/>
        <v>0</v>
      </c>
      <c r="K142" s="9">
        <v>0</v>
      </c>
      <c r="L142" s="29">
        <v>0</v>
      </c>
      <c r="M142" s="49">
        <v>0</v>
      </c>
      <c r="N142" s="106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565">
        <v>0</v>
      </c>
      <c r="U142" s="565">
        <v>0</v>
      </c>
      <c r="V142" s="565">
        <f t="shared" si="85"/>
        <v>0</v>
      </c>
      <c r="W142" s="565">
        <v>0</v>
      </c>
      <c r="X142" s="565">
        <f t="shared" si="86"/>
        <v>0</v>
      </c>
      <c r="Y142" s="565">
        <v>0</v>
      </c>
      <c r="Z142" s="565">
        <f t="shared" si="87"/>
        <v>0</v>
      </c>
    </row>
    <row r="143" spans="1:26">
      <c r="A143" s="24">
        <v>140</v>
      </c>
      <c r="B143" s="114"/>
      <c r="C143" s="3" t="s">
        <v>452</v>
      </c>
      <c r="D143" s="3"/>
      <c r="E143" s="21"/>
      <c r="F143" s="9"/>
      <c r="G143" s="3"/>
      <c r="H143" s="9"/>
      <c r="I143" s="9"/>
      <c r="J143" s="9"/>
      <c r="K143" s="9"/>
      <c r="L143" s="29"/>
      <c r="M143" s="49"/>
      <c r="N143" s="106"/>
      <c r="O143" s="9">
        <f t="shared" ref="O143:Z143" si="88">SUM(O144:O147)</f>
        <v>0</v>
      </c>
      <c r="P143" s="135">
        <f t="shared" si="88"/>
        <v>0</v>
      </c>
      <c r="Q143" s="135">
        <f t="shared" si="88"/>
        <v>0</v>
      </c>
      <c r="R143" s="135">
        <f t="shared" si="88"/>
        <v>0</v>
      </c>
      <c r="S143" s="135">
        <f t="shared" si="88"/>
        <v>0</v>
      </c>
      <c r="T143" s="566">
        <f t="shared" si="88"/>
        <v>0</v>
      </c>
      <c r="U143" s="566">
        <f t="shared" si="88"/>
        <v>0</v>
      </c>
      <c r="V143" s="566">
        <f t="shared" si="88"/>
        <v>0</v>
      </c>
      <c r="W143" s="566">
        <f t="shared" si="88"/>
        <v>0</v>
      </c>
      <c r="X143" s="566">
        <f t="shared" si="88"/>
        <v>0</v>
      </c>
      <c r="Y143" s="566">
        <f t="shared" si="88"/>
        <v>0</v>
      </c>
      <c r="Z143" s="566">
        <f t="shared" si="88"/>
        <v>0</v>
      </c>
    </row>
    <row r="144" spans="1:26">
      <c r="A144" s="115">
        <v>141</v>
      </c>
      <c r="B144" s="114"/>
      <c r="C144" s="3"/>
      <c r="D144" s="3" t="s">
        <v>454</v>
      </c>
      <c r="E144" s="21"/>
      <c r="F144" s="9"/>
      <c r="G144" s="3"/>
      <c r="H144" s="9"/>
      <c r="I144" s="9"/>
      <c r="J144" s="9"/>
      <c r="K144" s="9"/>
      <c r="L144" s="29"/>
      <c r="M144" s="49"/>
      <c r="N144" s="106"/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565">
        <v>0</v>
      </c>
      <c r="U144" s="565">
        <v>0</v>
      </c>
      <c r="V144" s="565">
        <f t="shared" si="85"/>
        <v>0</v>
      </c>
      <c r="W144" s="565">
        <v>0</v>
      </c>
      <c r="X144" s="565">
        <f t="shared" ref="X144:X147" si="89">SUM(V144:W144)</f>
        <v>0</v>
      </c>
      <c r="Y144" s="565">
        <v>0</v>
      </c>
      <c r="Z144" s="565">
        <f t="shared" ref="Z144:Z147" si="90">SUM(X144:Y144)</f>
        <v>0</v>
      </c>
    </row>
    <row r="145" spans="1:26">
      <c r="A145" s="115">
        <v>142</v>
      </c>
      <c r="B145" s="114"/>
      <c r="C145" s="3"/>
      <c r="D145" s="3" t="s">
        <v>453</v>
      </c>
      <c r="E145" s="21"/>
      <c r="F145" s="9"/>
      <c r="G145" s="3"/>
      <c r="H145" s="9"/>
      <c r="I145" s="9"/>
      <c r="J145" s="9"/>
      <c r="K145" s="9"/>
      <c r="L145" s="29"/>
      <c r="M145" s="49"/>
      <c r="N145" s="106"/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565">
        <v>0</v>
      </c>
      <c r="U145" s="565">
        <v>0</v>
      </c>
      <c r="V145" s="565">
        <f t="shared" si="85"/>
        <v>0</v>
      </c>
      <c r="W145" s="565">
        <v>0</v>
      </c>
      <c r="X145" s="565">
        <f t="shared" si="89"/>
        <v>0</v>
      </c>
      <c r="Y145" s="565">
        <v>0</v>
      </c>
      <c r="Z145" s="565">
        <f t="shared" si="90"/>
        <v>0</v>
      </c>
    </row>
    <row r="146" spans="1:26">
      <c r="A146" s="24">
        <v>143</v>
      </c>
      <c r="B146" s="114"/>
      <c r="C146" s="3"/>
      <c r="D146" s="3" t="s">
        <v>455</v>
      </c>
      <c r="E146" s="21"/>
      <c r="F146" s="9"/>
      <c r="G146" s="3"/>
      <c r="H146" s="9"/>
      <c r="I146" s="9"/>
      <c r="J146" s="9"/>
      <c r="K146" s="9"/>
      <c r="L146" s="29"/>
      <c r="M146" s="49"/>
      <c r="N146" s="106"/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565">
        <v>0</v>
      </c>
      <c r="U146" s="565">
        <v>0</v>
      </c>
      <c r="V146" s="565">
        <f t="shared" si="85"/>
        <v>0</v>
      </c>
      <c r="W146" s="565">
        <v>0</v>
      </c>
      <c r="X146" s="565">
        <f t="shared" si="89"/>
        <v>0</v>
      </c>
      <c r="Y146" s="565">
        <v>0</v>
      </c>
      <c r="Z146" s="565">
        <f t="shared" si="90"/>
        <v>0</v>
      </c>
    </row>
    <row r="147" spans="1:26">
      <c r="A147" s="115">
        <v>144</v>
      </c>
      <c r="B147" s="114"/>
      <c r="C147" s="3"/>
      <c r="D147" s="3" t="s">
        <v>456</v>
      </c>
      <c r="E147" s="21"/>
      <c r="F147" s="9"/>
      <c r="G147" s="3"/>
      <c r="H147" s="9"/>
      <c r="I147" s="9"/>
      <c r="J147" s="9"/>
      <c r="K147" s="9"/>
      <c r="L147" s="29"/>
      <c r="M147" s="49"/>
      <c r="N147" s="106"/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565">
        <v>0</v>
      </c>
      <c r="U147" s="565">
        <v>0</v>
      </c>
      <c r="V147" s="565">
        <f t="shared" si="85"/>
        <v>0</v>
      </c>
      <c r="W147" s="565">
        <v>0</v>
      </c>
      <c r="X147" s="565">
        <f t="shared" si="89"/>
        <v>0</v>
      </c>
      <c r="Y147" s="565">
        <v>0</v>
      </c>
      <c r="Z147" s="565">
        <f t="shared" si="90"/>
        <v>0</v>
      </c>
    </row>
    <row r="148" spans="1:26">
      <c r="A148" s="115">
        <v>145</v>
      </c>
      <c r="B148" s="113" t="s">
        <v>40</v>
      </c>
      <c r="C148" s="16"/>
      <c r="D148" s="16"/>
      <c r="E148" s="17"/>
      <c r="F148" s="11">
        <f>SUM(F149:F152)</f>
        <v>0</v>
      </c>
      <c r="G148" s="3">
        <v>0</v>
      </c>
      <c r="H148" s="9">
        <v>0</v>
      </c>
      <c r="I148" s="9">
        <v>0</v>
      </c>
      <c r="J148" s="9">
        <f t="shared" si="84"/>
        <v>0</v>
      </c>
      <c r="K148" s="9">
        <v>0</v>
      </c>
      <c r="L148" s="29">
        <v>0</v>
      </c>
      <c r="M148" s="49">
        <v>0</v>
      </c>
      <c r="N148" s="106">
        <v>0</v>
      </c>
      <c r="O148" s="11">
        <v>0</v>
      </c>
      <c r="P148" s="121">
        <f>SUM(P149:P152)</f>
        <v>0</v>
      </c>
      <c r="Q148" s="121">
        <f>SUM(Q149:Q152)</f>
        <v>0</v>
      </c>
      <c r="R148" s="121">
        <f>SUM(R149:R152)</f>
        <v>0</v>
      </c>
      <c r="S148" s="121">
        <f>SUM(S149:S152)</f>
        <v>0</v>
      </c>
      <c r="T148" s="122">
        <f>SUM(T149:T152)</f>
        <v>0</v>
      </c>
      <c r="U148" s="122">
        <v>0</v>
      </c>
      <c r="V148" s="122">
        <v>0</v>
      </c>
      <c r="W148" s="122">
        <v>0</v>
      </c>
      <c r="X148" s="122">
        <v>0</v>
      </c>
      <c r="Y148" s="122">
        <v>0</v>
      </c>
      <c r="Z148" s="122">
        <v>0</v>
      </c>
    </row>
    <row r="149" spans="1:26">
      <c r="A149" s="24">
        <v>146</v>
      </c>
      <c r="B149" s="114"/>
      <c r="C149" s="3" t="s">
        <v>41</v>
      </c>
      <c r="D149" s="3"/>
      <c r="E149" s="7"/>
      <c r="F149" s="9">
        <v>0</v>
      </c>
      <c r="G149" s="3">
        <v>0</v>
      </c>
      <c r="H149" s="9">
        <v>0</v>
      </c>
      <c r="I149" s="9">
        <v>0</v>
      </c>
      <c r="J149" s="9">
        <f t="shared" si="84"/>
        <v>0</v>
      </c>
      <c r="K149" s="9">
        <v>0</v>
      </c>
      <c r="L149" s="29">
        <v>0</v>
      </c>
      <c r="M149" s="49">
        <v>0</v>
      </c>
      <c r="N149" s="106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565">
        <v>0</v>
      </c>
      <c r="U149" s="565">
        <v>0</v>
      </c>
      <c r="V149" s="565">
        <f t="shared" si="85"/>
        <v>0</v>
      </c>
      <c r="W149" s="565">
        <v>0</v>
      </c>
      <c r="X149" s="565">
        <f t="shared" ref="X149:X152" si="91">SUM(V149:W149)</f>
        <v>0</v>
      </c>
      <c r="Y149" s="565">
        <v>0</v>
      </c>
      <c r="Z149" s="565">
        <f t="shared" ref="Z149:Z152" si="92">SUM(X149:Y149)</f>
        <v>0</v>
      </c>
    </row>
    <row r="150" spans="1:26">
      <c r="A150" s="115">
        <v>147</v>
      </c>
      <c r="B150" s="114"/>
      <c r="C150" s="3" t="s">
        <v>42</v>
      </c>
      <c r="D150" s="3"/>
      <c r="E150" s="7"/>
      <c r="F150" s="9">
        <v>0</v>
      </c>
      <c r="G150" s="3">
        <v>0</v>
      </c>
      <c r="H150" s="9">
        <v>0</v>
      </c>
      <c r="I150" s="9">
        <v>0</v>
      </c>
      <c r="J150" s="9">
        <f t="shared" si="84"/>
        <v>0</v>
      </c>
      <c r="K150" s="9">
        <v>0</v>
      </c>
      <c r="L150" s="29">
        <v>0</v>
      </c>
      <c r="M150" s="49">
        <v>0</v>
      </c>
      <c r="N150" s="106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565">
        <v>0</v>
      </c>
      <c r="U150" s="565">
        <v>0</v>
      </c>
      <c r="V150" s="565">
        <f t="shared" si="85"/>
        <v>0</v>
      </c>
      <c r="W150" s="565">
        <v>0</v>
      </c>
      <c r="X150" s="565">
        <f t="shared" si="91"/>
        <v>0</v>
      </c>
      <c r="Y150" s="565">
        <v>0</v>
      </c>
      <c r="Z150" s="565">
        <f t="shared" si="92"/>
        <v>0</v>
      </c>
    </row>
    <row r="151" spans="1:26">
      <c r="A151" s="115">
        <v>148</v>
      </c>
      <c r="B151" s="114"/>
      <c r="C151" s="3" t="s">
        <v>44</v>
      </c>
      <c r="D151" s="3"/>
      <c r="E151" s="7"/>
      <c r="F151" s="9">
        <v>0</v>
      </c>
      <c r="G151" s="3">
        <v>0</v>
      </c>
      <c r="H151" s="9">
        <v>0</v>
      </c>
      <c r="I151" s="9">
        <v>0</v>
      </c>
      <c r="J151" s="9">
        <f t="shared" si="84"/>
        <v>0</v>
      </c>
      <c r="K151" s="9">
        <v>0</v>
      </c>
      <c r="L151" s="29">
        <v>0</v>
      </c>
      <c r="M151" s="49">
        <v>0</v>
      </c>
      <c r="N151" s="106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565">
        <v>0</v>
      </c>
      <c r="U151" s="565">
        <v>0</v>
      </c>
      <c r="V151" s="565">
        <f t="shared" si="85"/>
        <v>0</v>
      </c>
      <c r="W151" s="565">
        <v>0</v>
      </c>
      <c r="X151" s="565">
        <f t="shared" si="91"/>
        <v>0</v>
      </c>
      <c r="Y151" s="565">
        <v>0</v>
      </c>
      <c r="Z151" s="565">
        <f t="shared" si="92"/>
        <v>0</v>
      </c>
    </row>
    <row r="152" spans="1:26">
      <c r="A152" s="24">
        <v>149</v>
      </c>
      <c r="B152" s="114"/>
      <c r="C152" s="3" t="s">
        <v>43</v>
      </c>
      <c r="D152" s="3"/>
      <c r="E152" s="7"/>
      <c r="F152" s="9">
        <v>0</v>
      </c>
      <c r="G152" s="3">
        <v>0</v>
      </c>
      <c r="H152" s="9">
        <v>0</v>
      </c>
      <c r="I152" s="9">
        <v>0</v>
      </c>
      <c r="J152" s="9">
        <f t="shared" si="84"/>
        <v>0</v>
      </c>
      <c r="K152" s="9">
        <v>0</v>
      </c>
      <c r="L152" s="29">
        <v>0</v>
      </c>
      <c r="M152" s="49">
        <v>0</v>
      </c>
      <c r="N152" s="106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565">
        <v>0</v>
      </c>
      <c r="U152" s="565">
        <v>0</v>
      </c>
      <c r="V152" s="565">
        <f t="shared" si="85"/>
        <v>0</v>
      </c>
      <c r="W152" s="565">
        <v>0</v>
      </c>
      <c r="X152" s="565">
        <f t="shared" si="91"/>
        <v>0</v>
      </c>
      <c r="Y152" s="565">
        <v>0</v>
      </c>
      <c r="Z152" s="565">
        <f t="shared" si="92"/>
        <v>0</v>
      </c>
    </row>
    <row r="153" spans="1:26">
      <c r="A153" s="115">
        <v>150</v>
      </c>
      <c r="B153" s="113" t="s">
        <v>45</v>
      </c>
      <c r="C153" s="16"/>
      <c r="D153" s="16"/>
      <c r="E153" s="17"/>
      <c r="F153" s="11">
        <f>+F154+F155</f>
        <v>309865</v>
      </c>
      <c r="G153" s="11">
        <f>+G154+G155</f>
        <v>412403</v>
      </c>
      <c r="H153" s="11">
        <f>H154+H155</f>
        <v>375000</v>
      </c>
      <c r="I153" s="11">
        <f>I154+I155</f>
        <v>44809</v>
      </c>
      <c r="J153" s="11">
        <f t="shared" si="84"/>
        <v>419809</v>
      </c>
      <c r="K153" s="11">
        <f>K154+K155</f>
        <v>18636</v>
      </c>
      <c r="L153" s="31">
        <f>K153+J153</f>
        <v>438445</v>
      </c>
      <c r="M153" s="8">
        <v>5763</v>
      </c>
      <c r="N153" s="85">
        <f>L153+M153</f>
        <v>444208</v>
      </c>
      <c r="O153" s="11">
        <f>O154+O155</f>
        <v>425000</v>
      </c>
      <c r="P153" s="121">
        <f t="shared" ref="P153:U153" si="93">SUM(P154:P155)</f>
        <v>400478</v>
      </c>
      <c r="Q153" s="121">
        <f t="shared" si="93"/>
        <v>541247</v>
      </c>
      <c r="R153" s="121">
        <f t="shared" si="93"/>
        <v>665442</v>
      </c>
      <c r="S153" s="121">
        <f t="shared" si="93"/>
        <v>731374</v>
      </c>
      <c r="T153" s="122">
        <f t="shared" si="93"/>
        <v>764384</v>
      </c>
      <c r="U153" s="122">
        <f t="shared" si="93"/>
        <v>26766</v>
      </c>
      <c r="V153" s="122">
        <f>T153+U153</f>
        <v>791150</v>
      </c>
      <c r="W153" s="122">
        <f t="shared" ref="W153:Y153" si="94">SUM(W154:W155)</f>
        <v>14614</v>
      </c>
      <c r="X153" s="122">
        <f>V153+W153</f>
        <v>805764</v>
      </c>
      <c r="Y153" s="122">
        <f t="shared" si="94"/>
        <v>14092</v>
      </c>
      <c r="Z153" s="122">
        <f>X153+Y153</f>
        <v>819856</v>
      </c>
    </row>
    <row r="154" spans="1:26">
      <c r="A154" s="115">
        <v>151</v>
      </c>
      <c r="B154" s="114"/>
      <c r="C154" s="3" t="s">
        <v>46</v>
      </c>
      <c r="D154" s="3"/>
      <c r="E154" s="7"/>
      <c r="F154" s="9">
        <v>0</v>
      </c>
      <c r="G154" s="9">
        <v>63356</v>
      </c>
      <c r="H154" s="9">
        <v>0</v>
      </c>
      <c r="I154" s="9">
        <v>30543</v>
      </c>
      <c r="J154" s="9">
        <f t="shared" si="84"/>
        <v>30543</v>
      </c>
      <c r="K154" s="9">
        <v>0</v>
      </c>
      <c r="L154" s="29">
        <v>30543</v>
      </c>
      <c r="M154" s="49">
        <v>0</v>
      </c>
      <c r="N154" s="27">
        <v>3054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565">
        <v>0</v>
      </c>
      <c r="U154" s="565">
        <v>2193</v>
      </c>
      <c r="V154" s="565">
        <f t="shared" si="85"/>
        <v>2193</v>
      </c>
      <c r="W154" s="565">
        <v>0</v>
      </c>
      <c r="X154" s="565">
        <f t="shared" ref="X154:X155" si="95">SUM(V154:W154)</f>
        <v>2193</v>
      </c>
      <c r="Y154" s="565">
        <v>0</v>
      </c>
      <c r="Z154" s="565">
        <f t="shared" ref="Z154:Z155" si="96">SUM(X154:Y154)</f>
        <v>2193</v>
      </c>
    </row>
    <row r="155" spans="1:26">
      <c r="A155" s="24">
        <v>152</v>
      </c>
      <c r="B155" s="114"/>
      <c r="C155" s="3" t="s">
        <v>50</v>
      </c>
      <c r="D155" s="3"/>
      <c r="E155" s="7"/>
      <c r="F155" s="9">
        <v>309865</v>
      </c>
      <c r="G155" s="9">
        <v>349047</v>
      </c>
      <c r="H155" s="9">
        <v>375000</v>
      </c>
      <c r="I155" s="9">
        <v>14266</v>
      </c>
      <c r="J155" s="9">
        <f t="shared" si="84"/>
        <v>389266</v>
      </c>
      <c r="K155" s="9">
        <f>11425+1028+1150+5033</f>
        <v>18636</v>
      </c>
      <c r="L155" s="29">
        <f>K155+J155</f>
        <v>407902</v>
      </c>
      <c r="M155" s="10">
        <v>5763</v>
      </c>
      <c r="N155" s="27">
        <f>L155+M155</f>
        <v>413665</v>
      </c>
      <c r="O155" s="9">
        <v>425000</v>
      </c>
      <c r="P155" s="9">
        <v>400478</v>
      </c>
      <c r="Q155" s="9">
        <v>541247</v>
      </c>
      <c r="R155" s="9">
        <v>665442</v>
      </c>
      <c r="S155" s="9">
        <v>731374</v>
      </c>
      <c r="T155" s="565">
        <v>764384</v>
      </c>
      <c r="U155" s="565">
        <v>24573</v>
      </c>
      <c r="V155" s="565">
        <f t="shared" si="85"/>
        <v>788957</v>
      </c>
      <c r="W155" s="565">
        <v>14614</v>
      </c>
      <c r="X155" s="565">
        <f t="shared" si="95"/>
        <v>803571</v>
      </c>
      <c r="Y155" s="565">
        <v>14092</v>
      </c>
      <c r="Z155" s="565">
        <f t="shared" si="96"/>
        <v>817663</v>
      </c>
    </row>
    <row r="156" spans="1:26">
      <c r="A156" s="115">
        <v>153</v>
      </c>
      <c r="B156" s="113" t="s">
        <v>19</v>
      </c>
      <c r="C156" s="16"/>
      <c r="D156" s="16"/>
      <c r="E156" s="17"/>
      <c r="F156" s="11">
        <f>+F153+F148+F130</f>
        <v>420000</v>
      </c>
      <c r="G156" s="11">
        <f>+G153+G148+G130</f>
        <v>533547</v>
      </c>
      <c r="H156" s="11">
        <f>H153+H148+H130</f>
        <v>490951</v>
      </c>
      <c r="I156" s="11">
        <f>I153+I130</f>
        <v>45521</v>
      </c>
      <c r="J156" s="11">
        <f t="shared" si="84"/>
        <v>536472</v>
      </c>
      <c r="K156" s="11">
        <f>K153+K130</f>
        <v>19587</v>
      </c>
      <c r="L156" s="31">
        <f>K156+J156</f>
        <v>556059</v>
      </c>
      <c r="M156" s="8">
        <v>5763</v>
      </c>
      <c r="N156" s="85">
        <f>N130+N153</f>
        <v>561822</v>
      </c>
      <c r="O156" s="11">
        <f>O153+O148+O130</f>
        <v>481813</v>
      </c>
      <c r="P156" s="121">
        <f t="shared" ref="P156:U156" si="97">SUM(P153,P148,P130)</f>
        <v>572041</v>
      </c>
      <c r="Q156" s="121">
        <f t="shared" si="97"/>
        <v>729031</v>
      </c>
      <c r="R156" s="121">
        <f t="shared" si="97"/>
        <v>794631</v>
      </c>
      <c r="S156" s="121">
        <f t="shared" si="97"/>
        <v>890988</v>
      </c>
      <c r="T156" s="122">
        <f t="shared" si="97"/>
        <v>926306</v>
      </c>
      <c r="U156" s="122">
        <f t="shared" si="97"/>
        <v>33531</v>
      </c>
      <c r="V156" s="122">
        <f>V130+V153</f>
        <v>959837</v>
      </c>
      <c r="W156" s="122">
        <f t="shared" ref="W156:Y156" si="98">SUM(W153,W148,W130)</f>
        <v>27430</v>
      </c>
      <c r="X156" s="122">
        <f>X130+X153</f>
        <v>987267</v>
      </c>
      <c r="Y156" s="122">
        <f t="shared" si="98"/>
        <v>14092</v>
      </c>
      <c r="Z156" s="122">
        <f>Z130+Z153</f>
        <v>1001359</v>
      </c>
    </row>
    <row r="157" spans="1:26" ht="78.75" customHeight="1">
      <c r="A157" s="115">
        <v>154</v>
      </c>
      <c r="B157" s="113" t="s">
        <v>48</v>
      </c>
      <c r="C157" s="3"/>
      <c r="D157" s="3"/>
      <c r="E157" s="7"/>
      <c r="F157" s="15" t="s">
        <v>107</v>
      </c>
      <c r="G157" s="6" t="s">
        <v>113</v>
      </c>
      <c r="H157" s="6" t="s">
        <v>112</v>
      </c>
      <c r="I157" s="24" t="s">
        <v>111</v>
      </c>
      <c r="J157" s="6" t="s">
        <v>115</v>
      </c>
      <c r="K157" s="24" t="s">
        <v>111</v>
      </c>
      <c r="L157" s="76" t="s">
        <v>255</v>
      </c>
      <c r="M157" s="86" t="s">
        <v>111</v>
      </c>
      <c r="N157" s="76" t="s">
        <v>260</v>
      </c>
      <c r="O157" s="6" t="str">
        <f>$O$4</f>
        <v>Előirányzat
4/2020. (III.05.) önkormányzati rendelet</v>
      </c>
      <c r="P157" s="6" t="s">
        <v>460</v>
      </c>
      <c r="Q157" s="6" t="str">
        <f>Q$4</f>
        <v>Előirányzat
3/2022. (II.10.) önkormányzati rendelet</v>
      </c>
      <c r="R157" s="6" t="str">
        <f>R$4</f>
        <v>Előirányzat
1./2023. (II.23.) önkormányzati rendelet</v>
      </c>
      <c r="S157" s="6" t="str">
        <f>S$4</f>
        <v>Előirányzat
1./2024. (II)22. önkormányzati rendelet</v>
      </c>
      <c r="T157" s="562" t="str">
        <f>T$4</f>
        <v>Előirányzat
2/2025. (II.20.) önkormányzati rendelet</v>
      </c>
      <c r="U157" s="562" t="s">
        <v>111</v>
      </c>
      <c r="V157" s="562" t="str">
        <f>V4</f>
        <v>Előirányzat 13/2025. (VI.26.) önkormányzati rendelet</v>
      </c>
      <c r="W157" s="562" t="s">
        <v>111</v>
      </c>
      <c r="X157" s="562" t="str">
        <f>X4</f>
        <v>Előirányzat 16/2025. (IX.25.) önkormányzati rendelet</v>
      </c>
      <c r="Y157" s="562" t="s">
        <v>111</v>
      </c>
      <c r="Z157" s="562" t="str">
        <f>Z4</f>
        <v>Módosított előirányzat</v>
      </c>
    </row>
    <row r="158" spans="1:26">
      <c r="A158" s="24">
        <v>155</v>
      </c>
      <c r="B158" s="113" t="s">
        <v>25</v>
      </c>
      <c r="C158" s="3"/>
      <c r="D158" s="3"/>
      <c r="E158" s="7"/>
      <c r="F158" s="9"/>
      <c r="G158" s="3"/>
      <c r="H158" s="9"/>
      <c r="I158" s="3"/>
      <c r="J158" s="3"/>
      <c r="K158" s="3"/>
      <c r="L158" s="26"/>
      <c r="M158" s="49"/>
      <c r="N158" s="106"/>
      <c r="O158" s="3"/>
      <c r="P158" s="9"/>
      <c r="Q158" s="9"/>
      <c r="R158" s="9"/>
      <c r="S158" s="9"/>
      <c r="T158" s="565"/>
      <c r="U158" s="565"/>
      <c r="V158" s="565"/>
      <c r="W158" s="565"/>
      <c r="X158" s="565"/>
      <c r="Y158" s="565"/>
      <c r="Z158" s="565"/>
    </row>
    <row r="159" spans="1:26">
      <c r="A159" s="115">
        <v>156</v>
      </c>
      <c r="B159" s="113"/>
      <c r="C159" s="3" t="s">
        <v>26</v>
      </c>
      <c r="D159" s="3"/>
      <c r="E159" s="7"/>
      <c r="F159" s="9"/>
      <c r="G159" s="3"/>
      <c r="H159" s="9"/>
      <c r="I159" s="3"/>
      <c r="J159" s="3"/>
      <c r="K159" s="3"/>
      <c r="L159" s="26"/>
      <c r="M159" s="49"/>
      <c r="N159" s="106"/>
      <c r="O159" s="3"/>
      <c r="P159" s="9"/>
      <c r="Q159" s="9"/>
      <c r="R159" s="9"/>
      <c r="S159" s="9"/>
      <c r="T159" s="565"/>
      <c r="U159" s="565"/>
      <c r="V159" s="565"/>
      <c r="W159" s="565"/>
      <c r="X159" s="565"/>
      <c r="Y159" s="565"/>
      <c r="Z159" s="565"/>
    </row>
    <row r="160" spans="1:26">
      <c r="A160" s="115">
        <v>157</v>
      </c>
      <c r="B160" s="113" t="s">
        <v>28</v>
      </c>
      <c r="C160" s="16"/>
      <c r="D160" s="16"/>
      <c r="E160" s="17"/>
      <c r="F160" s="11">
        <f>+F161+F171+F172</f>
        <v>1123281</v>
      </c>
      <c r="G160" s="11">
        <f>+G161+G171+G172</f>
        <v>2323601</v>
      </c>
      <c r="H160" s="11">
        <f>H161+H171+H172</f>
        <v>1358143</v>
      </c>
      <c r="I160" s="11">
        <f>I161+I171</f>
        <v>192193</v>
      </c>
      <c r="J160" s="11">
        <f t="shared" ref="J160:L160" si="99">J161+J171+J172</f>
        <v>1550336</v>
      </c>
      <c r="K160" s="11">
        <f t="shared" si="99"/>
        <v>210060</v>
      </c>
      <c r="L160" s="31">
        <f t="shared" si="99"/>
        <v>1760396</v>
      </c>
      <c r="M160" s="85">
        <f>M161+M171+M172</f>
        <v>88016</v>
      </c>
      <c r="N160" s="85">
        <f>N161+N171+N172</f>
        <v>1848412</v>
      </c>
      <c r="O160" s="11">
        <f t="shared" ref="O160:U160" si="100">SUM(O161,O171,O172,O173)</f>
        <v>3360124</v>
      </c>
      <c r="P160" s="138">
        <f t="shared" si="100"/>
        <v>3375097</v>
      </c>
      <c r="Q160" s="138">
        <f t="shared" si="100"/>
        <v>3864115</v>
      </c>
      <c r="R160" s="138">
        <f t="shared" si="100"/>
        <v>4583709</v>
      </c>
      <c r="S160" s="138">
        <f t="shared" si="100"/>
        <v>5034831</v>
      </c>
      <c r="T160" s="573">
        <f t="shared" si="100"/>
        <v>5624671</v>
      </c>
      <c r="U160" s="573">
        <f t="shared" si="100"/>
        <v>252637</v>
      </c>
      <c r="V160" s="573">
        <f>SUM(V161,V171,V172,V173)</f>
        <v>5877308</v>
      </c>
      <c r="W160" s="573">
        <f t="shared" ref="W160:Y160" si="101">SUM(W161,W171,W172,W173)</f>
        <v>64705</v>
      </c>
      <c r="X160" s="573">
        <f>SUM(X161,X171,X172,X173)</f>
        <v>5942013</v>
      </c>
      <c r="Y160" s="573">
        <f t="shared" si="101"/>
        <v>240075</v>
      </c>
      <c r="Z160" s="573">
        <f>SUM(Z161,Z171,Z172,Z173)</f>
        <v>6182088</v>
      </c>
    </row>
    <row r="161" spans="1:26">
      <c r="A161" s="24">
        <v>158</v>
      </c>
      <c r="B161" s="114"/>
      <c r="C161" s="3" t="s">
        <v>29</v>
      </c>
      <c r="D161" s="3"/>
      <c r="E161" s="7"/>
      <c r="F161" s="9">
        <f t="shared" ref="F161" si="102">+F162+F169+F170</f>
        <v>783333</v>
      </c>
      <c r="G161" s="14">
        <v>1761190</v>
      </c>
      <c r="H161" s="9">
        <f>+H162+H169+H170</f>
        <v>869953</v>
      </c>
      <c r="I161" s="9">
        <f t="shared" ref="I161:K161" si="103">+I162+I169+I170</f>
        <v>187174</v>
      </c>
      <c r="J161" s="9">
        <f t="shared" si="103"/>
        <v>1057127</v>
      </c>
      <c r="K161" s="9">
        <f t="shared" si="103"/>
        <v>91627</v>
      </c>
      <c r="L161" s="29">
        <f>+L162+L169+L170</f>
        <v>1148754</v>
      </c>
      <c r="M161" s="10">
        <f>M101+M41+M9</f>
        <v>42016</v>
      </c>
      <c r="N161" s="27">
        <f>N131+N101+N71+N41+N9</f>
        <v>1190770</v>
      </c>
      <c r="O161" s="9">
        <f>O162+O169+O170</f>
        <v>1077811</v>
      </c>
      <c r="P161" s="120">
        <f>SUM(P162,P169:P170)</f>
        <v>1822360</v>
      </c>
      <c r="Q161" s="120">
        <f>SUM(Q162,Q169:Q170)</f>
        <v>1738980</v>
      </c>
      <c r="R161" s="120">
        <f>SUM(R162,R169:R170)</f>
        <v>1788019</v>
      </c>
      <c r="S161" s="120">
        <f>SUM(S162,S169:S170)</f>
        <v>1983647</v>
      </c>
      <c r="T161" s="568">
        <f>SUM(T162,T169:T170)</f>
        <v>2352080</v>
      </c>
      <c r="U161" s="568">
        <f t="shared" ref="U161:W161" si="104">SUM(U162,U169:U170)</f>
        <v>216192</v>
      </c>
      <c r="V161" s="568">
        <f>SUM(V162,V169:V170)</f>
        <v>2568272</v>
      </c>
      <c r="W161" s="568">
        <f t="shared" si="104"/>
        <v>52672</v>
      </c>
      <c r="X161" s="568">
        <f>SUM(X162,X169:X170)</f>
        <v>2620944</v>
      </c>
      <c r="Y161" s="568">
        <f t="shared" ref="Y161" si="105">SUM(Y162,Y169:Y170)</f>
        <v>23875</v>
      </c>
      <c r="Z161" s="568">
        <f>SUM(Z162,Z169:Z170)</f>
        <v>2644819</v>
      </c>
    </row>
    <row r="162" spans="1:26">
      <c r="A162" s="115">
        <v>159</v>
      </c>
      <c r="B162" s="114"/>
      <c r="C162" s="3"/>
      <c r="D162" s="3" t="s">
        <v>36</v>
      </c>
      <c r="E162" s="7"/>
      <c r="F162" s="9">
        <f>SUM(F163:F168)</f>
        <v>699843</v>
      </c>
      <c r="G162" s="9">
        <v>798289</v>
      </c>
      <c r="H162" s="9">
        <f>SUM(H163:H168)</f>
        <v>763483</v>
      </c>
      <c r="I162" s="9">
        <v>20668</v>
      </c>
      <c r="J162" s="9">
        <f t="shared" ref="J162:J172" si="106">I162+H162</f>
        <v>784151</v>
      </c>
      <c r="K162" s="9">
        <f>K163+K164+K165+K166+K167+K168</f>
        <v>51453</v>
      </c>
      <c r="L162" s="29">
        <f t="shared" ref="L162:L172" si="107">K162+J162</f>
        <v>835604</v>
      </c>
      <c r="M162" s="27">
        <f>M163+M165+M166</f>
        <v>8487</v>
      </c>
      <c r="N162" s="27">
        <f t="shared" ref="N162:N167" si="108">N10</f>
        <v>844091</v>
      </c>
      <c r="O162" s="9">
        <f>O163+O164+O165+O166</f>
        <v>790610</v>
      </c>
      <c r="P162" s="135">
        <f>SUM(P163:P168)</f>
        <v>1500181</v>
      </c>
      <c r="Q162" s="135">
        <f>SUM(Q163:Q168)</f>
        <v>1428691</v>
      </c>
      <c r="R162" s="135">
        <f>SUM(R163:R168)</f>
        <v>1669841</v>
      </c>
      <c r="S162" s="135">
        <f>SUM(S163:S168)</f>
        <v>1843834</v>
      </c>
      <c r="T162" s="566">
        <f>SUM(T163:T168)</f>
        <v>2192727</v>
      </c>
      <c r="U162" s="566">
        <f t="shared" ref="U162:W162" si="109">SUM(U163:U168)</f>
        <v>13661</v>
      </c>
      <c r="V162" s="566">
        <f>SUM(V163:V168)</f>
        <v>2206388</v>
      </c>
      <c r="W162" s="566">
        <f t="shared" si="109"/>
        <v>43149</v>
      </c>
      <c r="X162" s="566">
        <f>SUM(X163:X168)</f>
        <v>2249537</v>
      </c>
      <c r="Y162" s="566">
        <f t="shared" ref="Y162" si="110">SUM(Y163:Y168)</f>
        <v>15204</v>
      </c>
      <c r="Z162" s="566">
        <f>SUM(Z163:Z168)</f>
        <v>2264741</v>
      </c>
    </row>
    <row r="163" spans="1:26">
      <c r="A163" s="115">
        <v>160</v>
      </c>
      <c r="B163" s="114"/>
      <c r="C163" s="3"/>
      <c r="D163" s="3"/>
      <c r="E163" s="18" t="s">
        <v>30</v>
      </c>
      <c r="F163" s="9">
        <f t="shared" ref="F163:F172" si="111">SUM(F133,F103,F73,F43,F11)</f>
        <v>116695</v>
      </c>
      <c r="G163" s="9">
        <v>117200</v>
      </c>
      <c r="H163" s="9">
        <v>132006</v>
      </c>
      <c r="I163" s="9">
        <v>1208</v>
      </c>
      <c r="J163" s="9">
        <f t="shared" si="106"/>
        <v>133214</v>
      </c>
      <c r="K163" s="9">
        <f t="shared" ref="K163:K168" si="112">K11</f>
        <v>6697</v>
      </c>
      <c r="L163" s="29">
        <f t="shared" si="107"/>
        <v>139911</v>
      </c>
      <c r="M163" s="10">
        <f>M11</f>
        <v>453</v>
      </c>
      <c r="N163" s="27">
        <f t="shared" si="108"/>
        <v>140364</v>
      </c>
      <c r="O163" s="9">
        <f>O11</f>
        <v>126000</v>
      </c>
      <c r="P163" s="124">
        <f t="shared" ref="P163:T172" si="113">SUM(P11,P43,P73,P103,P133)</f>
        <v>487954</v>
      </c>
      <c r="Q163" s="124">
        <f t="shared" si="113"/>
        <v>498865</v>
      </c>
      <c r="R163" s="124">
        <f t="shared" si="113"/>
        <v>646586</v>
      </c>
      <c r="S163" s="124">
        <f t="shared" si="113"/>
        <v>545431</v>
      </c>
      <c r="T163" s="572">
        <f t="shared" si="113"/>
        <v>643124</v>
      </c>
      <c r="U163" s="572">
        <f>U11</f>
        <v>0</v>
      </c>
      <c r="V163" s="572">
        <f>SUM(T163:U163)</f>
        <v>643124</v>
      </c>
      <c r="W163" s="572">
        <f>W11</f>
        <v>38401</v>
      </c>
      <c r="X163" s="572">
        <f>SUM(V163:W163)</f>
        <v>681525</v>
      </c>
      <c r="Y163" s="572">
        <f>Y11</f>
        <v>958</v>
      </c>
      <c r="Z163" s="572">
        <f>SUM(X163:Y163)</f>
        <v>682483</v>
      </c>
    </row>
    <row r="164" spans="1:26">
      <c r="A164" s="24">
        <v>161</v>
      </c>
      <c r="B164" s="114"/>
      <c r="C164" s="3"/>
      <c r="D164" s="3"/>
      <c r="E164" s="18" t="s">
        <v>31</v>
      </c>
      <c r="F164" s="9">
        <f t="shared" si="111"/>
        <v>278498</v>
      </c>
      <c r="G164" s="9">
        <v>280423</v>
      </c>
      <c r="H164" s="9">
        <v>284098</v>
      </c>
      <c r="I164" s="3">
        <v>0</v>
      </c>
      <c r="J164" s="9">
        <f t="shared" si="106"/>
        <v>284098</v>
      </c>
      <c r="K164" s="9">
        <f t="shared" si="112"/>
        <v>4875</v>
      </c>
      <c r="L164" s="29">
        <f t="shared" si="107"/>
        <v>288973</v>
      </c>
      <c r="M164" s="10">
        <f>M12</f>
        <v>0</v>
      </c>
      <c r="N164" s="27">
        <f t="shared" si="108"/>
        <v>288973</v>
      </c>
      <c r="O164" s="9">
        <f>O12</f>
        <v>304063</v>
      </c>
      <c r="P164" s="124">
        <f t="shared" si="113"/>
        <v>333675</v>
      </c>
      <c r="Q164" s="124">
        <f t="shared" si="113"/>
        <v>394562</v>
      </c>
      <c r="R164" s="124">
        <f t="shared" si="113"/>
        <v>394507</v>
      </c>
      <c r="S164" s="124">
        <f t="shared" si="113"/>
        <v>588141</v>
      </c>
      <c r="T164" s="572">
        <f t="shared" si="113"/>
        <v>744429</v>
      </c>
      <c r="U164" s="572">
        <f>U12</f>
        <v>-33723</v>
      </c>
      <c r="V164" s="572">
        <f t="shared" ref="V164:V189" si="114">SUM(T164:U164)</f>
        <v>710706</v>
      </c>
      <c r="W164" s="572">
        <f>W12</f>
        <v>4050</v>
      </c>
      <c r="X164" s="572">
        <f t="shared" ref="X164:X172" si="115">SUM(V164:W164)</f>
        <v>714756</v>
      </c>
      <c r="Y164" s="572">
        <f>Y12</f>
        <v>7245</v>
      </c>
      <c r="Z164" s="572">
        <f t="shared" ref="Z164:Z172" si="116">SUM(X164:Y164)</f>
        <v>722001</v>
      </c>
    </row>
    <row r="165" spans="1:26" ht="30">
      <c r="A165" s="115">
        <v>162</v>
      </c>
      <c r="B165" s="114"/>
      <c r="C165" s="3"/>
      <c r="D165" s="3"/>
      <c r="E165" s="20" t="s">
        <v>32</v>
      </c>
      <c r="F165" s="9">
        <f t="shared" si="111"/>
        <v>259708</v>
      </c>
      <c r="G165" s="9">
        <v>316977</v>
      </c>
      <c r="H165" s="9">
        <v>302156</v>
      </c>
      <c r="I165" s="9">
        <v>17081</v>
      </c>
      <c r="J165" s="9">
        <f t="shared" si="106"/>
        <v>319237</v>
      </c>
      <c r="K165" s="9">
        <f t="shared" si="112"/>
        <v>37806</v>
      </c>
      <c r="L165" s="29">
        <f t="shared" si="107"/>
        <v>357043</v>
      </c>
      <c r="M165" s="10">
        <f>M13</f>
        <v>5507</v>
      </c>
      <c r="N165" s="27">
        <f t="shared" si="108"/>
        <v>362550</v>
      </c>
      <c r="O165" s="9">
        <f>O13</f>
        <v>331321</v>
      </c>
      <c r="P165" s="124">
        <f t="shared" si="113"/>
        <v>398011</v>
      </c>
      <c r="Q165" s="124">
        <f t="shared" si="113"/>
        <v>466726</v>
      </c>
      <c r="R165" s="124">
        <f t="shared" si="113"/>
        <v>494186</v>
      </c>
      <c r="S165" s="124">
        <f t="shared" si="113"/>
        <v>621795</v>
      </c>
      <c r="T165" s="572">
        <f t="shared" si="113"/>
        <v>715667</v>
      </c>
      <c r="U165" s="572">
        <f>U13</f>
        <v>47384</v>
      </c>
      <c r="V165" s="572">
        <f t="shared" si="114"/>
        <v>763051</v>
      </c>
      <c r="W165" s="572">
        <f>W13</f>
        <v>5331</v>
      </c>
      <c r="X165" s="572">
        <f t="shared" si="115"/>
        <v>768382</v>
      </c>
      <c r="Y165" s="572">
        <f>Y13</f>
        <v>7001</v>
      </c>
      <c r="Z165" s="572">
        <f t="shared" si="116"/>
        <v>775383</v>
      </c>
    </row>
    <row r="166" spans="1:26">
      <c r="A166" s="115">
        <v>163</v>
      </c>
      <c r="B166" s="114"/>
      <c r="C166" s="3"/>
      <c r="D166" s="3"/>
      <c r="E166" s="20" t="s">
        <v>33</v>
      </c>
      <c r="F166" s="9">
        <f t="shared" si="111"/>
        <v>44942</v>
      </c>
      <c r="G166" s="9">
        <v>51075</v>
      </c>
      <c r="H166" s="9">
        <v>44866</v>
      </c>
      <c r="I166" s="9">
        <v>2379</v>
      </c>
      <c r="J166" s="9">
        <f t="shared" si="106"/>
        <v>47245</v>
      </c>
      <c r="K166" s="9">
        <f t="shared" si="112"/>
        <v>2075</v>
      </c>
      <c r="L166" s="29">
        <f t="shared" si="107"/>
        <v>49320</v>
      </c>
      <c r="M166" s="10">
        <f>M14</f>
        <v>2527</v>
      </c>
      <c r="N166" s="27">
        <f t="shared" si="108"/>
        <v>51847</v>
      </c>
      <c r="O166" s="9">
        <f>O14</f>
        <v>29226</v>
      </c>
      <c r="P166" s="124">
        <f t="shared" si="113"/>
        <v>50541</v>
      </c>
      <c r="Q166" s="124">
        <f t="shared" si="113"/>
        <v>68538</v>
      </c>
      <c r="R166" s="124">
        <f t="shared" si="113"/>
        <v>84562</v>
      </c>
      <c r="S166" s="124">
        <f t="shared" si="113"/>
        <v>84768</v>
      </c>
      <c r="T166" s="572">
        <f t="shared" si="113"/>
        <v>84547</v>
      </c>
      <c r="U166" s="572">
        <f>U14</f>
        <v>0</v>
      </c>
      <c r="V166" s="572">
        <f t="shared" si="114"/>
        <v>84547</v>
      </c>
      <c r="W166" s="572">
        <f>W14</f>
        <v>0</v>
      </c>
      <c r="X166" s="572">
        <f t="shared" si="115"/>
        <v>84547</v>
      </c>
      <c r="Y166" s="572">
        <f>Y14</f>
        <v>0</v>
      </c>
      <c r="Z166" s="572">
        <f t="shared" si="116"/>
        <v>84547</v>
      </c>
    </row>
    <row r="167" spans="1:26">
      <c r="A167" s="24">
        <v>164</v>
      </c>
      <c r="B167" s="114"/>
      <c r="C167" s="3"/>
      <c r="D167" s="3"/>
      <c r="E167" s="20" t="s">
        <v>34</v>
      </c>
      <c r="F167" s="19">
        <f t="shared" si="111"/>
        <v>0</v>
      </c>
      <c r="G167" s="9">
        <v>32339</v>
      </c>
      <c r="H167" s="9">
        <f t="shared" ref="H167:H172" si="117">H137+H107+H77+H47+H15</f>
        <v>357</v>
      </c>
      <c r="I167" s="3">
        <v>0</v>
      </c>
      <c r="J167" s="9">
        <f t="shared" si="106"/>
        <v>357</v>
      </c>
      <c r="K167" s="9">
        <f t="shared" si="112"/>
        <v>0</v>
      </c>
      <c r="L167" s="29">
        <f t="shared" si="107"/>
        <v>357</v>
      </c>
      <c r="M167" s="49">
        <v>0</v>
      </c>
      <c r="N167" s="27">
        <f t="shared" si="108"/>
        <v>357</v>
      </c>
      <c r="O167" s="3">
        <v>0</v>
      </c>
      <c r="P167" s="124">
        <f t="shared" si="113"/>
        <v>230000</v>
      </c>
      <c r="Q167" s="124">
        <f t="shared" si="113"/>
        <v>0</v>
      </c>
      <c r="R167" s="124">
        <f t="shared" si="113"/>
        <v>50000</v>
      </c>
      <c r="S167" s="124">
        <f t="shared" si="113"/>
        <v>0</v>
      </c>
      <c r="T167" s="572">
        <f t="shared" si="113"/>
        <v>4633</v>
      </c>
      <c r="U167" s="572">
        <v>0</v>
      </c>
      <c r="V167" s="572">
        <f t="shared" si="114"/>
        <v>4633</v>
      </c>
      <c r="W167" s="572">
        <f>W15</f>
        <v>-4633</v>
      </c>
      <c r="X167" s="572">
        <f t="shared" si="115"/>
        <v>0</v>
      </c>
      <c r="Y167" s="572">
        <f>Y15</f>
        <v>0</v>
      </c>
      <c r="Z167" s="572">
        <f t="shared" si="116"/>
        <v>0</v>
      </c>
    </row>
    <row r="168" spans="1:26">
      <c r="A168" s="115">
        <v>165</v>
      </c>
      <c r="B168" s="114"/>
      <c r="C168" s="3"/>
      <c r="D168" s="3"/>
      <c r="E168" s="20" t="s">
        <v>35</v>
      </c>
      <c r="F168" s="19">
        <f t="shared" si="111"/>
        <v>0</v>
      </c>
      <c r="G168" s="9">
        <v>275</v>
      </c>
      <c r="H168" s="9">
        <f t="shared" si="117"/>
        <v>0</v>
      </c>
      <c r="I168" s="3">
        <v>0</v>
      </c>
      <c r="J168" s="9">
        <f t="shared" si="106"/>
        <v>0</v>
      </c>
      <c r="K168" s="3">
        <f t="shared" si="112"/>
        <v>0</v>
      </c>
      <c r="L168" s="29">
        <f t="shared" si="107"/>
        <v>0</v>
      </c>
      <c r="M168" s="49">
        <v>0</v>
      </c>
      <c r="N168" s="106">
        <v>0</v>
      </c>
      <c r="O168" s="3">
        <v>0</v>
      </c>
      <c r="P168" s="124">
        <f t="shared" si="113"/>
        <v>0</v>
      </c>
      <c r="Q168" s="124">
        <f t="shared" si="113"/>
        <v>0</v>
      </c>
      <c r="R168" s="124">
        <f t="shared" si="113"/>
        <v>0</v>
      </c>
      <c r="S168" s="124">
        <f t="shared" si="113"/>
        <v>3699</v>
      </c>
      <c r="T168" s="572">
        <f t="shared" si="113"/>
        <v>327</v>
      </c>
      <c r="U168" s="572">
        <v>0</v>
      </c>
      <c r="V168" s="572">
        <f t="shared" si="114"/>
        <v>327</v>
      </c>
      <c r="W168" s="572">
        <v>0</v>
      </c>
      <c r="X168" s="572">
        <f t="shared" si="115"/>
        <v>327</v>
      </c>
      <c r="Y168" s="572">
        <v>0</v>
      </c>
      <c r="Z168" s="572">
        <f t="shared" si="116"/>
        <v>327</v>
      </c>
    </row>
    <row r="169" spans="1:26">
      <c r="A169" s="115">
        <v>166</v>
      </c>
      <c r="B169" s="114"/>
      <c r="C169" s="3"/>
      <c r="D169" s="3" t="s">
        <v>47</v>
      </c>
      <c r="E169" s="21"/>
      <c r="F169" s="9">
        <f t="shared" si="111"/>
        <v>0</v>
      </c>
      <c r="G169" s="9">
        <v>0</v>
      </c>
      <c r="H169" s="9">
        <f t="shared" si="117"/>
        <v>0</v>
      </c>
      <c r="I169" s="3">
        <v>0</v>
      </c>
      <c r="J169" s="9">
        <f t="shared" si="106"/>
        <v>0</v>
      </c>
      <c r="K169" s="3">
        <v>0</v>
      </c>
      <c r="L169" s="29">
        <f t="shared" si="107"/>
        <v>0</v>
      </c>
      <c r="M169" s="49">
        <v>0</v>
      </c>
      <c r="N169" s="106">
        <v>0</v>
      </c>
      <c r="O169" s="3">
        <v>0</v>
      </c>
      <c r="P169" s="124">
        <f t="shared" si="113"/>
        <v>0</v>
      </c>
      <c r="Q169" s="124">
        <f t="shared" si="113"/>
        <v>0</v>
      </c>
      <c r="R169" s="124">
        <f t="shared" si="113"/>
        <v>0</v>
      </c>
      <c r="S169" s="124">
        <f t="shared" si="113"/>
        <v>16000</v>
      </c>
      <c r="T169" s="572">
        <f t="shared" si="113"/>
        <v>16000</v>
      </c>
      <c r="U169" s="572">
        <v>0</v>
      </c>
      <c r="V169" s="572">
        <f t="shared" si="114"/>
        <v>16000</v>
      </c>
      <c r="W169" s="572">
        <v>0</v>
      </c>
      <c r="X169" s="572">
        <f t="shared" si="115"/>
        <v>16000</v>
      </c>
      <c r="Y169" s="572">
        <v>0</v>
      </c>
      <c r="Z169" s="572">
        <f t="shared" si="116"/>
        <v>16000</v>
      </c>
    </row>
    <row r="170" spans="1:26">
      <c r="A170" s="24">
        <v>167</v>
      </c>
      <c r="B170" s="114"/>
      <c r="C170" s="3"/>
      <c r="D170" s="3" t="s">
        <v>37</v>
      </c>
      <c r="E170" s="21"/>
      <c r="F170" s="9">
        <f t="shared" si="111"/>
        <v>83490</v>
      </c>
      <c r="G170" s="9">
        <v>962901</v>
      </c>
      <c r="H170" s="9">
        <f t="shared" si="117"/>
        <v>106470</v>
      </c>
      <c r="I170" s="9">
        <v>166506</v>
      </c>
      <c r="J170" s="9">
        <f t="shared" si="106"/>
        <v>272976</v>
      </c>
      <c r="K170" s="9">
        <f>K140+K110+K80+K50+K18</f>
        <v>40174</v>
      </c>
      <c r="L170" s="29">
        <f t="shared" si="107"/>
        <v>313150</v>
      </c>
      <c r="M170" s="10">
        <f>M110+M50+M18</f>
        <v>33529</v>
      </c>
      <c r="N170" s="27">
        <f>N140+N110+N80+N50+N18</f>
        <v>346679</v>
      </c>
      <c r="O170" s="9">
        <f>O140+O110+O80+O48+O18</f>
        <v>287201</v>
      </c>
      <c r="P170" s="124">
        <f t="shared" si="113"/>
        <v>322179</v>
      </c>
      <c r="Q170" s="124">
        <f t="shared" si="113"/>
        <v>310289</v>
      </c>
      <c r="R170" s="124">
        <f t="shared" si="113"/>
        <v>118178</v>
      </c>
      <c r="S170" s="124">
        <f t="shared" si="113"/>
        <v>123813</v>
      </c>
      <c r="T170" s="572">
        <f t="shared" si="113"/>
        <v>143353</v>
      </c>
      <c r="U170" s="572">
        <f>U110+U50+U18+U80+U140</f>
        <v>202531</v>
      </c>
      <c r="V170" s="572">
        <f t="shared" si="114"/>
        <v>345884</v>
      </c>
      <c r="W170" s="572">
        <f>W110+W50+W18+W80+W140</f>
        <v>9523</v>
      </c>
      <c r="X170" s="572">
        <f t="shared" si="115"/>
        <v>355407</v>
      </c>
      <c r="Y170" s="572">
        <f>Y110+Y50+Y18+Y80+Y140</f>
        <v>8671</v>
      </c>
      <c r="Z170" s="572">
        <f t="shared" si="116"/>
        <v>364078</v>
      </c>
    </row>
    <row r="171" spans="1:26">
      <c r="A171" s="115">
        <v>168</v>
      </c>
      <c r="B171" s="114"/>
      <c r="C171" s="3" t="s">
        <v>38</v>
      </c>
      <c r="D171" s="3"/>
      <c r="E171" s="21"/>
      <c r="F171" s="9">
        <f t="shared" si="111"/>
        <v>339948</v>
      </c>
      <c r="G171" s="9">
        <v>442456</v>
      </c>
      <c r="H171" s="9">
        <f t="shared" si="117"/>
        <v>488190</v>
      </c>
      <c r="I171" s="9">
        <f>I141+I111+I81+I51+I19</f>
        <v>5019</v>
      </c>
      <c r="J171" s="9">
        <f>J141+J111+J81+J51+J19</f>
        <v>493209</v>
      </c>
      <c r="K171" s="9">
        <f>K19</f>
        <v>118433</v>
      </c>
      <c r="L171" s="29">
        <f t="shared" si="107"/>
        <v>611642</v>
      </c>
      <c r="M171" s="10">
        <f>M19</f>
        <v>46000</v>
      </c>
      <c r="N171" s="27">
        <f>N141+N111+N51+N19</f>
        <v>657642</v>
      </c>
      <c r="O171" s="9">
        <f>O141+O111+O81+O51+O19</f>
        <v>532113</v>
      </c>
      <c r="P171" s="124">
        <f t="shared" si="113"/>
        <v>495737</v>
      </c>
      <c r="Q171" s="124">
        <f t="shared" si="113"/>
        <v>558135</v>
      </c>
      <c r="R171" s="124">
        <f t="shared" si="113"/>
        <v>821690</v>
      </c>
      <c r="S171" s="124">
        <f t="shared" si="113"/>
        <v>735184</v>
      </c>
      <c r="T171" s="572">
        <f t="shared" si="113"/>
        <v>728591</v>
      </c>
      <c r="U171" s="572">
        <f>U19+U51+U81+U111+U141</f>
        <v>36445</v>
      </c>
      <c r="V171" s="572">
        <f t="shared" si="114"/>
        <v>765036</v>
      </c>
      <c r="W171" s="572">
        <f>W19+W51+W81+W111+W141</f>
        <v>12033</v>
      </c>
      <c r="X171" s="572">
        <f t="shared" si="115"/>
        <v>777069</v>
      </c>
      <c r="Y171" s="572">
        <f>Y19+Y51+Y81+Y111+Y141</f>
        <v>800</v>
      </c>
      <c r="Z171" s="572">
        <f t="shared" si="116"/>
        <v>777869</v>
      </c>
    </row>
    <row r="172" spans="1:26">
      <c r="A172" s="115">
        <v>169</v>
      </c>
      <c r="B172" s="114"/>
      <c r="C172" s="3" t="s">
        <v>39</v>
      </c>
      <c r="D172" s="3"/>
      <c r="E172" s="21"/>
      <c r="F172" s="9">
        <f t="shared" si="111"/>
        <v>0</v>
      </c>
      <c r="G172" s="9">
        <v>119955</v>
      </c>
      <c r="H172" s="9">
        <f t="shared" si="117"/>
        <v>0</v>
      </c>
      <c r="I172" s="3">
        <v>0</v>
      </c>
      <c r="J172" s="9">
        <f t="shared" si="106"/>
        <v>0</v>
      </c>
      <c r="K172" s="40">
        <f>K20</f>
        <v>0</v>
      </c>
      <c r="L172" s="80">
        <f t="shared" si="107"/>
        <v>0</v>
      </c>
      <c r="M172" s="49">
        <v>0</v>
      </c>
      <c r="N172" s="106">
        <v>0</v>
      </c>
      <c r="O172" s="9">
        <f>O20</f>
        <v>9200</v>
      </c>
      <c r="P172" s="124">
        <f t="shared" si="113"/>
        <v>0</v>
      </c>
      <c r="Q172" s="124">
        <f t="shared" si="113"/>
        <v>0</v>
      </c>
      <c r="R172" s="124">
        <f t="shared" si="113"/>
        <v>0</v>
      </c>
      <c r="S172" s="124">
        <f t="shared" si="113"/>
        <v>0</v>
      </c>
      <c r="T172" s="572">
        <f t="shared" si="113"/>
        <v>100000</v>
      </c>
      <c r="U172" s="572">
        <v>0</v>
      </c>
      <c r="V172" s="572">
        <f t="shared" si="114"/>
        <v>100000</v>
      </c>
      <c r="W172" s="572">
        <v>0</v>
      </c>
      <c r="X172" s="572">
        <f t="shared" si="115"/>
        <v>100000</v>
      </c>
      <c r="Y172" s="572">
        <f>Y20</f>
        <v>6900</v>
      </c>
      <c r="Z172" s="572">
        <f t="shared" si="116"/>
        <v>106900</v>
      </c>
    </row>
    <row r="173" spans="1:26">
      <c r="A173" s="24">
        <v>170</v>
      </c>
      <c r="B173" s="114"/>
      <c r="C173" s="3" t="s">
        <v>452</v>
      </c>
      <c r="D173" s="3"/>
      <c r="E173" s="21"/>
      <c r="F173" s="9"/>
      <c r="G173" s="9"/>
      <c r="H173" s="9"/>
      <c r="I173" s="3"/>
      <c r="J173" s="9"/>
      <c r="K173" s="40"/>
      <c r="L173" s="80"/>
      <c r="M173" s="106"/>
      <c r="N173" s="106"/>
      <c r="O173" s="9">
        <f t="shared" ref="O173:S173" si="118">SUM(O174:O177)</f>
        <v>1741000</v>
      </c>
      <c r="P173" s="135">
        <f t="shared" si="118"/>
        <v>1057000</v>
      </c>
      <c r="Q173" s="135">
        <f t="shared" si="118"/>
        <v>1567000</v>
      </c>
      <c r="R173" s="135">
        <f t="shared" si="118"/>
        <v>1974000</v>
      </c>
      <c r="S173" s="135">
        <f t="shared" si="118"/>
        <v>2316000</v>
      </c>
      <c r="T173" s="566">
        <f>SUM(T174:T177)</f>
        <v>2444000</v>
      </c>
      <c r="U173" s="566">
        <f>SUM(U174:U177)</f>
        <v>0</v>
      </c>
      <c r="V173" s="566">
        <f t="shared" ref="V173:X173" si="119">SUM(V174:V177)</f>
        <v>2444000</v>
      </c>
      <c r="W173" s="566">
        <f>SUM(W174:W177)</f>
        <v>0</v>
      </c>
      <c r="X173" s="566">
        <f t="shared" si="119"/>
        <v>2444000</v>
      </c>
      <c r="Y173" s="566">
        <f>SUM(Y174:Y177)</f>
        <v>208500</v>
      </c>
      <c r="Z173" s="566">
        <f t="shared" ref="Z173" si="120">SUM(Z174:Z177)</f>
        <v>2652500</v>
      </c>
    </row>
    <row r="174" spans="1:26">
      <c r="A174" s="115">
        <v>171</v>
      </c>
      <c r="B174" s="114"/>
      <c r="C174" s="3"/>
      <c r="D174" s="3" t="s">
        <v>454</v>
      </c>
      <c r="E174" s="21"/>
      <c r="F174" s="9"/>
      <c r="G174" s="9"/>
      <c r="H174" s="9"/>
      <c r="I174" s="3"/>
      <c r="J174" s="9"/>
      <c r="K174" s="40"/>
      <c r="L174" s="80"/>
      <c r="M174" s="106"/>
      <c r="N174" s="106"/>
      <c r="O174" s="9">
        <f t="shared" ref="O174:T177" si="121">SUM(O22,O54,O84,O114,O144)</f>
        <v>0</v>
      </c>
      <c r="P174" s="124">
        <f t="shared" si="121"/>
        <v>0</v>
      </c>
      <c r="Q174" s="124">
        <f t="shared" si="121"/>
        <v>0</v>
      </c>
      <c r="R174" s="124">
        <f t="shared" si="121"/>
        <v>0</v>
      </c>
      <c r="S174" s="124">
        <f t="shared" si="121"/>
        <v>0</v>
      </c>
      <c r="T174" s="572">
        <f t="shared" si="121"/>
        <v>0</v>
      </c>
      <c r="U174" s="572">
        <v>0</v>
      </c>
      <c r="V174" s="572">
        <f t="shared" si="114"/>
        <v>0</v>
      </c>
      <c r="W174" s="572">
        <v>0</v>
      </c>
      <c r="X174" s="572">
        <f t="shared" ref="X174:X177" si="122">SUM(V174:W174)</f>
        <v>0</v>
      </c>
      <c r="Y174" s="572">
        <v>0</v>
      </c>
      <c r="Z174" s="572">
        <f t="shared" ref="Z174:Z177" si="123">SUM(X174:Y174)</f>
        <v>0</v>
      </c>
    </row>
    <row r="175" spans="1:26">
      <c r="A175" s="115">
        <v>172</v>
      </c>
      <c r="B175" s="114"/>
      <c r="C175" s="3"/>
      <c r="D175" s="3" t="s">
        <v>453</v>
      </c>
      <c r="E175" s="21"/>
      <c r="F175" s="9"/>
      <c r="G175" s="9"/>
      <c r="H175" s="9"/>
      <c r="I175" s="3"/>
      <c r="J175" s="9"/>
      <c r="K175" s="40"/>
      <c r="L175" s="80"/>
      <c r="M175" s="106"/>
      <c r="N175" s="106"/>
      <c r="O175" s="9">
        <f t="shared" si="121"/>
        <v>516000</v>
      </c>
      <c r="P175" s="124">
        <f t="shared" si="121"/>
        <v>280000</v>
      </c>
      <c r="Q175" s="124">
        <f t="shared" si="121"/>
        <v>360000</v>
      </c>
      <c r="R175" s="124">
        <f t="shared" si="121"/>
        <v>395000</v>
      </c>
      <c r="S175" s="124">
        <f t="shared" si="121"/>
        <v>400000</v>
      </c>
      <c r="T175" s="572">
        <f t="shared" si="121"/>
        <v>405000</v>
      </c>
      <c r="U175" s="572">
        <v>0</v>
      </c>
      <c r="V175" s="572">
        <f t="shared" si="114"/>
        <v>405000</v>
      </c>
      <c r="W175" s="572">
        <v>0</v>
      </c>
      <c r="X175" s="572">
        <f t="shared" si="122"/>
        <v>405000</v>
      </c>
      <c r="Y175" s="572">
        <v>0</v>
      </c>
      <c r="Z175" s="572">
        <f t="shared" si="123"/>
        <v>405000</v>
      </c>
    </row>
    <row r="176" spans="1:26">
      <c r="A176" s="24">
        <v>173</v>
      </c>
      <c r="B176" s="114"/>
      <c r="C176" s="3"/>
      <c r="D176" s="3" t="s">
        <v>455</v>
      </c>
      <c r="E176" s="21"/>
      <c r="F176" s="9"/>
      <c r="G176" s="9"/>
      <c r="H176" s="9"/>
      <c r="I176" s="3"/>
      <c r="J176" s="9"/>
      <c r="K176" s="40"/>
      <c r="L176" s="80"/>
      <c r="M176" s="106"/>
      <c r="N176" s="106"/>
      <c r="O176" s="9">
        <f t="shared" si="121"/>
        <v>1223000</v>
      </c>
      <c r="P176" s="124">
        <f t="shared" si="121"/>
        <v>775000</v>
      </c>
      <c r="Q176" s="124">
        <f t="shared" si="121"/>
        <v>1205000</v>
      </c>
      <c r="R176" s="124">
        <f t="shared" si="121"/>
        <v>1575000</v>
      </c>
      <c r="S176" s="124">
        <f t="shared" si="121"/>
        <v>1910000</v>
      </c>
      <c r="T176" s="572">
        <f t="shared" si="121"/>
        <v>2035000</v>
      </c>
      <c r="U176" s="572">
        <v>0</v>
      </c>
      <c r="V176" s="572">
        <f t="shared" si="114"/>
        <v>2035000</v>
      </c>
      <c r="W176" s="572">
        <v>0</v>
      </c>
      <c r="X176" s="572">
        <f t="shared" si="122"/>
        <v>2035000</v>
      </c>
      <c r="Y176" s="572">
        <f>Y24</f>
        <v>208500</v>
      </c>
      <c r="Z176" s="572">
        <f t="shared" si="123"/>
        <v>2243500</v>
      </c>
    </row>
    <row r="177" spans="1:26">
      <c r="A177" s="115">
        <v>174</v>
      </c>
      <c r="B177" s="114"/>
      <c r="C177" s="3"/>
      <c r="D177" s="3" t="s">
        <v>456</v>
      </c>
      <c r="E177" s="21"/>
      <c r="F177" s="9"/>
      <c r="G177" s="9"/>
      <c r="H177" s="9"/>
      <c r="I177" s="3"/>
      <c r="J177" s="9"/>
      <c r="K177" s="40"/>
      <c r="L177" s="80"/>
      <c r="M177" s="106"/>
      <c r="N177" s="106"/>
      <c r="O177" s="9">
        <f t="shared" si="121"/>
        <v>2000</v>
      </c>
      <c r="P177" s="124">
        <f t="shared" si="121"/>
        <v>2000</v>
      </c>
      <c r="Q177" s="124">
        <f t="shared" si="121"/>
        <v>2000</v>
      </c>
      <c r="R177" s="124">
        <f t="shared" si="121"/>
        <v>4000</v>
      </c>
      <c r="S177" s="124">
        <f t="shared" si="121"/>
        <v>6000</v>
      </c>
      <c r="T177" s="572">
        <f t="shared" si="121"/>
        <v>4000</v>
      </c>
      <c r="U177" s="572">
        <v>0</v>
      </c>
      <c r="V177" s="572">
        <f t="shared" si="114"/>
        <v>4000</v>
      </c>
      <c r="W177" s="572">
        <v>0</v>
      </c>
      <c r="X177" s="572">
        <f t="shared" si="122"/>
        <v>4000</v>
      </c>
      <c r="Y177" s="572">
        <v>0</v>
      </c>
      <c r="Z177" s="572">
        <f t="shared" si="123"/>
        <v>4000</v>
      </c>
    </row>
    <row r="178" spans="1:26">
      <c r="A178" s="115">
        <v>175</v>
      </c>
      <c r="B178" s="113" t="s">
        <v>40</v>
      </c>
      <c r="C178" s="16"/>
      <c r="D178" s="16"/>
      <c r="E178" s="17"/>
      <c r="F178" s="11">
        <f t="shared" ref="F178:M178" si="124">SUM(F179:F183)</f>
        <v>5000</v>
      </c>
      <c r="G178" s="11">
        <f t="shared" si="124"/>
        <v>2065997</v>
      </c>
      <c r="H178" s="11">
        <f t="shared" si="124"/>
        <v>105000</v>
      </c>
      <c r="I178" s="11">
        <f t="shared" si="124"/>
        <v>4000</v>
      </c>
      <c r="J178" s="11">
        <f t="shared" si="124"/>
        <v>109000</v>
      </c>
      <c r="K178" s="11">
        <f t="shared" si="124"/>
        <v>0</v>
      </c>
      <c r="L178" s="31">
        <f t="shared" si="124"/>
        <v>109000</v>
      </c>
      <c r="M178" s="85">
        <f t="shared" si="124"/>
        <v>150000</v>
      </c>
      <c r="N178" s="85">
        <f>N26</f>
        <v>259000</v>
      </c>
      <c r="O178" s="11">
        <f t="shared" ref="O178:S178" si="125">SUM(O179:O183)</f>
        <v>255259</v>
      </c>
      <c r="P178" s="138">
        <f t="shared" si="125"/>
        <v>109165</v>
      </c>
      <c r="Q178" s="138">
        <f t="shared" si="125"/>
        <v>8057163</v>
      </c>
      <c r="R178" s="138">
        <f t="shared" si="125"/>
        <v>3509130</v>
      </c>
      <c r="S178" s="138">
        <f t="shared" si="125"/>
        <v>2760939</v>
      </c>
      <c r="T178" s="573">
        <f>SUM(T179:T183)</f>
        <v>1052972</v>
      </c>
      <c r="U178" s="573">
        <f t="shared" ref="U178:Z178" si="126">SUM(U179:U183)</f>
        <v>274116</v>
      </c>
      <c r="V178" s="573">
        <f t="shared" si="126"/>
        <v>1327088</v>
      </c>
      <c r="W178" s="573">
        <f t="shared" si="126"/>
        <v>3111</v>
      </c>
      <c r="X178" s="573">
        <f t="shared" si="126"/>
        <v>1330199</v>
      </c>
      <c r="Y178" s="573">
        <f t="shared" si="126"/>
        <v>163460</v>
      </c>
      <c r="Z178" s="573">
        <f t="shared" si="126"/>
        <v>1493659</v>
      </c>
    </row>
    <row r="179" spans="1:26">
      <c r="A179" s="24">
        <v>176</v>
      </c>
      <c r="B179" s="114"/>
      <c r="C179" s="3" t="s">
        <v>41</v>
      </c>
      <c r="D179" s="3"/>
      <c r="E179" s="7"/>
      <c r="F179" s="9">
        <f>SUM(F149,F119,F89,F59,F27)</f>
        <v>0</v>
      </c>
      <c r="G179" s="9">
        <v>448150</v>
      </c>
      <c r="H179" s="9">
        <f>H149+H119+H89+H59+H27</f>
        <v>0</v>
      </c>
      <c r="I179" s="3">
        <v>0</v>
      </c>
      <c r="J179" s="9">
        <f t="shared" ref="J179:J183" si="127">I179+H179</f>
        <v>0</v>
      </c>
      <c r="K179" s="3">
        <v>0</v>
      </c>
      <c r="L179" s="29">
        <f t="shared" ref="L179:L183" si="128">K179+J179</f>
        <v>0</v>
      </c>
      <c r="M179" s="49">
        <v>0</v>
      </c>
      <c r="N179" s="106">
        <v>0</v>
      </c>
      <c r="O179" s="3">
        <v>0</v>
      </c>
      <c r="P179" s="124">
        <f>SUM(P27,P59,P89,P119,P149)</f>
        <v>0</v>
      </c>
      <c r="Q179" s="124">
        <f>SUM(Q27,Q59,Q89,Q119,Q149)</f>
        <v>0</v>
      </c>
      <c r="R179" s="124">
        <f>SUM(R27,R59,R89,R119,R149)</f>
        <v>0</v>
      </c>
      <c r="S179" s="124">
        <f>SUM(S27,S59,S89,S119,S149)</f>
        <v>0</v>
      </c>
      <c r="T179" s="572">
        <f>SUM(T27,T59,T89,T119,T149)</f>
        <v>0</v>
      </c>
      <c r="U179" s="572">
        <v>0</v>
      </c>
      <c r="V179" s="572">
        <f t="shared" si="114"/>
        <v>0</v>
      </c>
      <c r="W179" s="572">
        <v>0</v>
      </c>
      <c r="X179" s="572">
        <f t="shared" ref="X179:X183" si="129">SUM(V179:W179)</f>
        <v>0</v>
      </c>
      <c r="Y179" s="572">
        <v>0</v>
      </c>
      <c r="Z179" s="572">
        <f t="shared" ref="Z179:Z183" si="130">SUM(X179:Y179)</f>
        <v>0</v>
      </c>
    </row>
    <row r="180" spans="1:26">
      <c r="A180" s="115">
        <v>177</v>
      </c>
      <c r="B180" s="114"/>
      <c r="C180" s="3" t="s">
        <v>94</v>
      </c>
      <c r="D180" s="3"/>
      <c r="E180" s="7"/>
      <c r="F180" s="9">
        <f>SUM(F150,F120,F90,F60,F28)</f>
        <v>0</v>
      </c>
      <c r="G180" s="9">
        <v>0</v>
      </c>
      <c r="H180" s="9">
        <f>H28</f>
        <v>0</v>
      </c>
      <c r="I180" s="3">
        <v>0</v>
      </c>
      <c r="J180" s="9">
        <f t="shared" si="127"/>
        <v>0</v>
      </c>
      <c r="K180" s="3">
        <v>0</v>
      </c>
      <c r="L180" s="29">
        <f t="shared" si="128"/>
        <v>0</v>
      </c>
      <c r="M180" s="49">
        <v>0</v>
      </c>
      <c r="N180" s="106">
        <v>0</v>
      </c>
      <c r="O180" s="3">
        <v>0</v>
      </c>
      <c r="P180" s="124">
        <f>SUM(P28)</f>
        <v>0</v>
      </c>
      <c r="Q180" s="124">
        <f>SUM(Q28)</f>
        <v>0</v>
      </c>
      <c r="R180" s="124">
        <f>SUM(R28)</f>
        <v>0</v>
      </c>
      <c r="S180" s="124">
        <f>SUM(S28)</f>
        <v>0</v>
      </c>
      <c r="T180" s="572">
        <f>SUM(T28)</f>
        <v>0</v>
      </c>
      <c r="U180" s="572">
        <v>0</v>
      </c>
      <c r="V180" s="572">
        <f t="shared" si="114"/>
        <v>0</v>
      </c>
      <c r="W180" s="572">
        <v>0</v>
      </c>
      <c r="X180" s="572">
        <f t="shared" si="129"/>
        <v>0</v>
      </c>
      <c r="Y180" s="572">
        <v>0</v>
      </c>
      <c r="Z180" s="572">
        <f t="shared" si="130"/>
        <v>0</v>
      </c>
    </row>
    <row r="181" spans="1:26">
      <c r="A181" s="115">
        <v>178</v>
      </c>
      <c r="B181" s="114"/>
      <c r="C181" s="3" t="s">
        <v>42</v>
      </c>
      <c r="D181" s="3"/>
      <c r="E181" s="7"/>
      <c r="F181" s="9">
        <f>SUM(F150,F120,F90,F60,F29)</f>
        <v>0</v>
      </c>
      <c r="G181" s="9">
        <v>1533274</v>
      </c>
      <c r="H181" s="9">
        <f>H150+H120+H90+H60+H29</f>
        <v>0</v>
      </c>
      <c r="I181" s="3">
        <v>4000</v>
      </c>
      <c r="J181" s="9">
        <f t="shared" si="127"/>
        <v>4000</v>
      </c>
      <c r="K181" s="3">
        <v>0</v>
      </c>
      <c r="L181" s="29">
        <f t="shared" si="128"/>
        <v>4000</v>
      </c>
      <c r="M181" s="49">
        <v>0</v>
      </c>
      <c r="N181" s="27">
        <v>4000</v>
      </c>
      <c r="O181" s="9">
        <f>O29</f>
        <v>59999</v>
      </c>
      <c r="P181" s="124">
        <f t="shared" ref="P181:T183" si="131">SUM(P29,P60,P90,P120,P150)</f>
        <v>35005</v>
      </c>
      <c r="Q181" s="124">
        <f t="shared" si="131"/>
        <v>7864736</v>
      </c>
      <c r="R181" s="124">
        <f t="shared" si="131"/>
        <v>3117203</v>
      </c>
      <c r="S181" s="124">
        <f t="shared" si="131"/>
        <v>2530054</v>
      </c>
      <c r="T181" s="572">
        <f t="shared" si="131"/>
        <v>704629</v>
      </c>
      <c r="U181" s="572">
        <f>SUM(U150,U120,U90,U60,U29)</f>
        <v>273793</v>
      </c>
      <c r="V181" s="572">
        <f t="shared" si="114"/>
        <v>978422</v>
      </c>
      <c r="W181" s="572">
        <f>SUM(W150,W120,W90,W60,W29)</f>
        <v>0</v>
      </c>
      <c r="X181" s="572">
        <f t="shared" si="129"/>
        <v>978422</v>
      </c>
      <c r="Y181" s="572">
        <f>SUM(Y150,Y120,Y90,Y60,Y29)</f>
        <v>163460</v>
      </c>
      <c r="Z181" s="572">
        <f t="shared" si="130"/>
        <v>1141882</v>
      </c>
    </row>
    <row r="182" spans="1:26">
      <c r="A182" s="24">
        <v>179</v>
      </c>
      <c r="B182" s="114"/>
      <c r="C182" s="3" t="s">
        <v>44</v>
      </c>
      <c r="D182" s="3"/>
      <c r="E182" s="7"/>
      <c r="F182" s="9">
        <f>SUM(F151,F121,F91,F61,F30)</f>
        <v>5000</v>
      </c>
      <c r="G182" s="9">
        <v>48320</v>
      </c>
      <c r="H182" s="9">
        <f>H151+H121+H91+H61+H30</f>
        <v>105000</v>
      </c>
      <c r="I182" s="3">
        <v>0</v>
      </c>
      <c r="J182" s="9">
        <f t="shared" si="127"/>
        <v>105000</v>
      </c>
      <c r="K182" s="3">
        <v>0</v>
      </c>
      <c r="L182" s="29">
        <f t="shared" si="128"/>
        <v>105000</v>
      </c>
      <c r="M182" s="49">
        <v>0</v>
      </c>
      <c r="N182" s="27">
        <v>105000</v>
      </c>
      <c r="O182" s="9">
        <f>O30</f>
        <v>195260</v>
      </c>
      <c r="P182" s="124">
        <f t="shared" si="131"/>
        <v>74000</v>
      </c>
      <c r="Q182" s="124">
        <f t="shared" si="131"/>
        <v>178300</v>
      </c>
      <c r="R182" s="124">
        <f t="shared" si="131"/>
        <v>366800</v>
      </c>
      <c r="S182" s="124">
        <f t="shared" si="131"/>
        <v>157407</v>
      </c>
      <c r="T182" s="572">
        <f t="shared" si="131"/>
        <v>272390</v>
      </c>
      <c r="U182" s="572">
        <f>SUM(U61,U91,U121,U151,U30)</f>
        <v>323</v>
      </c>
      <c r="V182" s="572">
        <f t="shared" si="114"/>
        <v>272713</v>
      </c>
      <c r="W182" s="572">
        <f>SUM(W61,W91,W121,W151,W30)</f>
        <v>0</v>
      </c>
      <c r="X182" s="572">
        <f t="shared" si="129"/>
        <v>272713</v>
      </c>
      <c r="Y182" s="572">
        <f>SUM(Y61,Y91,Y121,Y151,Y30)</f>
        <v>0</v>
      </c>
      <c r="Z182" s="572">
        <f t="shared" si="130"/>
        <v>272713</v>
      </c>
    </row>
    <row r="183" spans="1:26">
      <c r="A183" s="115">
        <v>180</v>
      </c>
      <c r="B183" s="114"/>
      <c r="C183" s="3" t="s">
        <v>43</v>
      </c>
      <c r="D183" s="3"/>
      <c r="E183" s="7"/>
      <c r="F183" s="9">
        <f>SUM(F152,F122,F92,F62,F31)</f>
        <v>0</v>
      </c>
      <c r="G183" s="9">
        <v>36253</v>
      </c>
      <c r="H183" s="9">
        <f>H152+H122+H92+H62</f>
        <v>0</v>
      </c>
      <c r="I183" s="3">
        <v>0</v>
      </c>
      <c r="J183" s="9">
        <f t="shared" si="127"/>
        <v>0</v>
      </c>
      <c r="K183" s="3">
        <v>0</v>
      </c>
      <c r="L183" s="26">
        <f t="shared" si="128"/>
        <v>0</v>
      </c>
      <c r="M183" s="10">
        <f>M31</f>
        <v>150000</v>
      </c>
      <c r="N183" s="27">
        <v>150000</v>
      </c>
      <c r="O183" s="3">
        <v>0</v>
      </c>
      <c r="P183" s="124">
        <f t="shared" si="131"/>
        <v>160</v>
      </c>
      <c r="Q183" s="124">
        <f t="shared" si="131"/>
        <v>14127</v>
      </c>
      <c r="R183" s="124">
        <f t="shared" si="131"/>
        <v>25127</v>
      </c>
      <c r="S183" s="124">
        <f t="shared" si="131"/>
        <v>73478</v>
      </c>
      <c r="T183" s="572">
        <f t="shared" si="131"/>
        <v>75953</v>
      </c>
      <c r="U183" s="572">
        <f>U31</f>
        <v>0</v>
      </c>
      <c r="V183" s="572">
        <f t="shared" si="114"/>
        <v>75953</v>
      </c>
      <c r="W183" s="572">
        <f>W31+W62</f>
        <v>3111</v>
      </c>
      <c r="X183" s="572">
        <f t="shared" si="129"/>
        <v>79064</v>
      </c>
      <c r="Y183" s="572">
        <f>Y31+Y62</f>
        <v>0</v>
      </c>
      <c r="Z183" s="572">
        <f t="shared" si="130"/>
        <v>79064</v>
      </c>
    </row>
    <row r="184" spans="1:26">
      <c r="A184" s="115">
        <v>181</v>
      </c>
      <c r="B184" s="113" t="s">
        <v>45</v>
      </c>
      <c r="C184" s="16"/>
      <c r="D184" s="16"/>
      <c r="E184" s="17"/>
      <c r="F184" s="11">
        <f>+F185+F187+F188</f>
        <v>6248313</v>
      </c>
      <c r="G184" s="11">
        <f>+G185+G187+G188</f>
        <v>7348073</v>
      </c>
      <c r="H184" s="11">
        <f>H185+H187+H188</f>
        <v>5429503</v>
      </c>
      <c r="I184" s="11">
        <f>I185+I187+I188</f>
        <v>614942</v>
      </c>
      <c r="J184" s="11">
        <f>J185+J187+J188</f>
        <v>6044445</v>
      </c>
      <c r="K184" s="11">
        <f>K185+K187+K188</f>
        <v>29453</v>
      </c>
      <c r="L184" s="31">
        <f>L185+L187+L188</f>
        <v>6073898</v>
      </c>
      <c r="M184" s="85">
        <f t="shared" ref="M184:N184" si="132">M185+M187+M188</f>
        <v>46487</v>
      </c>
      <c r="N184" s="85">
        <f t="shared" si="132"/>
        <v>6120385</v>
      </c>
      <c r="O184" s="11">
        <f>O185+O187+O188</f>
        <v>3173510</v>
      </c>
      <c r="P184" s="138">
        <f>SUM(P185:P188)</f>
        <v>3160192</v>
      </c>
      <c r="Q184" s="138">
        <f>SUM(Q185:Q188)</f>
        <v>6130360</v>
      </c>
      <c r="R184" s="138">
        <f>SUM(R185:R188)</f>
        <v>5848121</v>
      </c>
      <c r="S184" s="138">
        <f>SUM(S185:S188)</f>
        <v>4091694</v>
      </c>
      <c r="T184" s="573">
        <f>SUM(T185:T188)</f>
        <v>3229254</v>
      </c>
      <c r="U184" s="573">
        <f t="shared" ref="U184:Z184" si="133">SUM(U185:U188)</f>
        <v>20511</v>
      </c>
      <c r="V184" s="573">
        <f t="shared" si="133"/>
        <v>3249765</v>
      </c>
      <c r="W184" s="573">
        <f t="shared" si="133"/>
        <v>49094</v>
      </c>
      <c r="X184" s="573">
        <f t="shared" si="133"/>
        <v>3298859</v>
      </c>
      <c r="Y184" s="573">
        <f t="shared" si="133"/>
        <v>21337</v>
      </c>
      <c r="Z184" s="573">
        <f t="shared" si="133"/>
        <v>3320196</v>
      </c>
    </row>
    <row r="185" spans="1:26">
      <c r="A185" s="24">
        <v>182</v>
      </c>
      <c r="B185" s="114"/>
      <c r="C185" s="3" t="s">
        <v>46</v>
      </c>
      <c r="D185" s="3"/>
      <c r="E185" s="7"/>
      <c r="F185" s="9">
        <f>SUM(F154,F124,F94,F64,F33)</f>
        <v>3648041</v>
      </c>
      <c r="G185" s="9">
        <f>SUM(G154,G124,G94,G64,G33)</f>
        <v>4272554</v>
      </c>
      <c r="H185" s="9">
        <f>SUM(H154,H124,H94,H64,H33)</f>
        <v>3761803</v>
      </c>
      <c r="I185" s="9">
        <v>597360</v>
      </c>
      <c r="J185" s="9">
        <f>I185+H185</f>
        <v>4359163</v>
      </c>
      <c r="K185" s="3">
        <v>0</v>
      </c>
      <c r="L185" s="29">
        <f>K185+J185</f>
        <v>4359163</v>
      </c>
      <c r="M185" s="49">
        <v>0</v>
      </c>
      <c r="N185" s="27">
        <v>4359163</v>
      </c>
      <c r="O185" s="9">
        <v>1882279</v>
      </c>
      <c r="P185" s="124">
        <f>SUM(P33,P64,P94,P124,P154)</f>
        <v>1834606</v>
      </c>
      <c r="Q185" s="124">
        <f>SUM(Q33,Q64,Q94,Q124,Q154)</f>
        <v>4605090</v>
      </c>
      <c r="R185" s="124">
        <f>SUM(R33,R64,R94,R124,R154)</f>
        <v>4014000</v>
      </c>
      <c r="S185" s="124">
        <f>SUM(S33,S64,S94,S124,S154)</f>
        <v>1945960</v>
      </c>
      <c r="T185" s="572">
        <f>SUM(T33,T64,T94,T124,T154)</f>
        <v>794500</v>
      </c>
      <c r="U185" s="572">
        <f>SUM(U154,U124,U94,U64,U33)</f>
        <v>26037</v>
      </c>
      <c r="V185" s="572">
        <f t="shared" si="114"/>
        <v>820537</v>
      </c>
      <c r="W185" s="572">
        <f>SUM(W154,W124,W94,W64,W33)</f>
        <v>0</v>
      </c>
      <c r="X185" s="572">
        <f t="shared" ref="X185:X189" si="134">SUM(V185:W185)</f>
        <v>820537</v>
      </c>
      <c r="Y185" s="572">
        <f>SUM(Y154,Y124,Y94,Y64,Y33)</f>
        <v>0</v>
      </c>
      <c r="Z185" s="572">
        <f t="shared" ref="Z185:Z189" si="135">SUM(X185:Y185)</f>
        <v>820537</v>
      </c>
    </row>
    <row r="186" spans="1:26">
      <c r="A186" s="24"/>
      <c r="B186" s="114"/>
      <c r="C186" s="3" t="s">
        <v>583</v>
      </c>
      <c r="D186" s="3"/>
      <c r="E186" s="7"/>
      <c r="F186" s="9"/>
      <c r="G186" s="9"/>
      <c r="H186" s="9"/>
      <c r="I186" s="9"/>
      <c r="J186" s="9"/>
      <c r="K186" s="3"/>
      <c r="L186" s="29"/>
      <c r="M186" s="49"/>
      <c r="N186" s="27"/>
      <c r="O186" s="9"/>
      <c r="P186" s="124"/>
      <c r="Q186" s="124"/>
      <c r="R186" s="124"/>
      <c r="S186" s="124">
        <v>0</v>
      </c>
      <c r="T186" s="572">
        <v>0</v>
      </c>
      <c r="U186" s="572">
        <f>SUM(U34)</f>
        <v>3624</v>
      </c>
      <c r="V186" s="572">
        <f t="shared" si="114"/>
        <v>3624</v>
      </c>
      <c r="W186" s="572">
        <f>SUM(W34)</f>
        <v>0</v>
      </c>
      <c r="X186" s="572">
        <f t="shared" si="134"/>
        <v>3624</v>
      </c>
      <c r="Y186" s="572">
        <f>SUM(Y34)</f>
        <v>0</v>
      </c>
      <c r="Z186" s="572">
        <f t="shared" si="135"/>
        <v>3624</v>
      </c>
    </row>
    <row r="187" spans="1:26">
      <c r="A187" s="115">
        <v>183</v>
      </c>
      <c r="B187" s="114"/>
      <c r="C187" s="3" t="s">
        <v>584</v>
      </c>
      <c r="D187" s="3"/>
      <c r="E187" s="7"/>
      <c r="F187" s="9">
        <f>F155+F125+F95+F65</f>
        <v>1100272</v>
      </c>
      <c r="G187" s="9">
        <v>1179906</v>
      </c>
      <c r="H187" s="9">
        <f>H155+H125+H95+H65</f>
        <v>1272087</v>
      </c>
      <c r="I187" s="9">
        <v>17582</v>
      </c>
      <c r="J187" s="9">
        <f>I187+H187</f>
        <v>1289669</v>
      </c>
      <c r="K187" s="9">
        <f>K155+K125+K95+K65</f>
        <v>29453</v>
      </c>
      <c r="L187" s="29">
        <f>K187+J187</f>
        <v>1319122</v>
      </c>
      <c r="M187" s="10">
        <f>M155+M125+M95+M65</f>
        <v>46487</v>
      </c>
      <c r="N187" s="27">
        <f>N155+N125+N95+N65</f>
        <v>1365609</v>
      </c>
      <c r="O187" s="9">
        <f>O155+O125+O95+O65</f>
        <v>1291231</v>
      </c>
      <c r="P187" s="124">
        <f>SUM(P65,P95,P125,P155)</f>
        <v>1325586</v>
      </c>
      <c r="Q187" s="124">
        <f>SUM(Q65,Q95,Q125,Q155)</f>
        <v>1525270</v>
      </c>
      <c r="R187" s="124">
        <f>SUM(R65,R95,R125,R155)</f>
        <v>1834121</v>
      </c>
      <c r="S187" s="124">
        <f>SUM(S65,S95,S125,S155)</f>
        <v>2145734</v>
      </c>
      <c r="T187" s="572">
        <f>SUM(T65,T95,T125,T155)</f>
        <v>2434754</v>
      </c>
      <c r="U187" s="572">
        <f>U155+U125+U95+U65</f>
        <v>-9150</v>
      </c>
      <c r="V187" s="572">
        <f t="shared" si="114"/>
        <v>2425604</v>
      </c>
      <c r="W187" s="572">
        <f>W155+W125+W95+W65</f>
        <v>49094</v>
      </c>
      <c r="X187" s="572">
        <f t="shared" si="134"/>
        <v>2474698</v>
      </c>
      <c r="Y187" s="572">
        <f>Y155+Y125+Y95+Y65</f>
        <v>21337</v>
      </c>
      <c r="Z187" s="572">
        <f t="shared" si="135"/>
        <v>2496035</v>
      </c>
    </row>
    <row r="188" spans="1:26">
      <c r="A188" s="115">
        <v>184</v>
      </c>
      <c r="B188" s="114"/>
      <c r="C188" s="3" t="s">
        <v>585</v>
      </c>
      <c r="D188" s="3"/>
      <c r="E188" s="7"/>
      <c r="F188" s="9">
        <f>F35</f>
        <v>1500000</v>
      </c>
      <c r="G188" s="9">
        <v>1895613</v>
      </c>
      <c r="H188" s="9">
        <f>H35</f>
        <v>395613</v>
      </c>
      <c r="I188" s="3">
        <v>0</v>
      </c>
      <c r="J188" s="9">
        <v>395613</v>
      </c>
      <c r="K188" s="3">
        <v>0</v>
      </c>
      <c r="L188" s="29">
        <f>K188+J188</f>
        <v>395613</v>
      </c>
      <c r="M188" s="49">
        <v>0</v>
      </c>
      <c r="N188" s="27">
        <v>395613</v>
      </c>
      <c r="O188" s="9">
        <v>0</v>
      </c>
      <c r="P188" s="124">
        <f>SUM(P35)</f>
        <v>0</v>
      </c>
      <c r="Q188" s="124">
        <f>SUM(Q35)</f>
        <v>0</v>
      </c>
      <c r="R188" s="124">
        <f>SUM(R35)</f>
        <v>0</v>
      </c>
      <c r="S188" s="124">
        <f>SUM(S35)</f>
        <v>0</v>
      </c>
      <c r="T188" s="572">
        <f>SUM(T35)</f>
        <v>0</v>
      </c>
      <c r="U188" s="572">
        <v>0</v>
      </c>
      <c r="V188" s="572">
        <f t="shared" si="114"/>
        <v>0</v>
      </c>
      <c r="W188" s="572">
        <v>0</v>
      </c>
      <c r="X188" s="572">
        <f t="shared" si="134"/>
        <v>0</v>
      </c>
      <c r="Y188" s="572">
        <v>0</v>
      </c>
      <c r="Z188" s="572">
        <f t="shared" si="135"/>
        <v>0</v>
      </c>
    </row>
    <row r="189" spans="1:26">
      <c r="A189" s="24">
        <v>185</v>
      </c>
      <c r="B189" s="114"/>
      <c r="C189" s="3" t="s">
        <v>51</v>
      </c>
      <c r="D189" s="3"/>
      <c r="E189" s="7"/>
      <c r="F189" s="9">
        <v>1100272</v>
      </c>
      <c r="G189" s="9">
        <v>1179906</v>
      </c>
      <c r="H189" s="10">
        <v>1272087</v>
      </c>
      <c r="I189" s="9">
        <v>17582</v>
      </c>
      <c r="J189" s="9">
        <v>1289669</v>
      </c>
      <c r="K189" s="9">
        <v>29453</v>
      </c>
      <c r="L189" s="29">
        <f>K189+J189</f>
        <v>1319122</v>
      </c>
      <c r="M189" s="10">
        <v>46487</v>
      </c>
      <c r="N189" s="27">
        <v>1365609</v>
      </c>
      <c r="O189" s="9">
        <f>O187</f>
        <v>1291231</v>
      </c>
      <c r="P189" s="124">
        <v>1325586</v>
      </c>
      <c r="Q189" s="124">
        <v>1525270</v>
      </c>
      <c r="R189" s="124">
        <f>R187</f>
        <v>1834121</v>
      </c>
      <c r="S189" s="124">
        <f>S187</f>
        <v>2145734</v>
      </c>
      <c r="T189" s="572">
        <f>T187</f>
        <v>2434754</v>
      </c>
      <c r="U189" s="572">
        <f>U187</f>
        <v>-9150</v>
      </c>
      <c r="V189" s="572">
        <f t="shared" si="114"/>
        <v>2425604</v>
      </c>
      <c r="W189" s="572">
        <f>W187</f>
        <v>49094</v>
      </c>
      <c r="X189" s="572">
        <f t="shared" si="134"/>
        <v>2474698</v>
      </c>
      <c r="Y189" s="572">
        <f>Y187</f>
        <v>21337</v>
      </c>
      <c r="Z189" s="572">
        <f t="shared" si="135"/>
        <v>2496035</v>
      </c>
    </row>
    <row r="190" spans="1:26" ht="27" customHeight="1">
      <c r="A190" s="115">
        <v>186</v>
      </c>
      <c r="B190" s="113" t="s">
        <v>19</v>
      </c>
      <c r="C190" s="16"/>
      <c r="D190" s="16"/>
      <c r="E190" s="17"/>
      <c r="F190" s="11">
        <f>(+F184+F178+F160)-F189</f>
        <v>6276322</v>
      </c>
      <c r="G190" s="11">
        <f>(+G184+G178+G160)-G189</f>
        <v>10557765</v>
      </c>
      <c r="H190" s="11">
        <f>(+H184+H178+H160)-H189</f>
        <v>5620559</v>
      </c>
      <c r="I190" s="11">
        <f>(+I184+I178+I160)-I189</f>
        <v>793553</v>
      </c>
      <c r="J190" s="11">
        <v>8086694</v>
      </c>
      <c r="K190" s="11">
        <f>(+K184+K178+K160)-K189</f>
        <v>210060</v>
      </c>
      <c r="L190" s="31">
        <v>8296754</v>
      </c>
      <c r="M190" s="8">
        <f>(M184+M178+M160)-M189-17582</f>
        <v>220434</v>
      </c>
      <c r="N190" s="85">
        <f>(N184+N178+N160)-N189</f>
        <v>6862188</v>
      </c>
      <c r="O190" s="11">
        <f>(+O184+O178+O160)-O189</f>
        <v>5497662</v>
      </c>
      <c r="P190" s="121">
        <f>SUM(P184,P178,P160)-P189</f>
        <v>5318868</v>
      </c>
      <c r="Q190" s="121">
        <f>SUM(Q184,Q178,Q160)-Q189</f>
        <v>16526368</v>
      </c>
      <c r="R190" s="121">
        <f>SUM(R184,R178,R160)-R189</f>
        <v>12106839</v>
      </c>
      <c r="S190" s="121">
        <f>SUM(S184,S178,S160)-S189</f>
        <v>9741730</v>
      </c>
      <c r="T190" s="122">
        <f>SUM(T184,T178,T160)-T189</f>
        <v>7472143</v>
      </c>
      <c r="U190" s="122">
        <f t="shared" ref="U190:Z190" si="136">(U184+U178+U160)-U189</f>
        <v>556414</v>
      </c>
      <c r="V190" s="122">
        <f t="shared" si="136"/>
        <v>8028557</v>
      </c>
      <c r="W190" s="122">
        <f t="shared" si="136"/>
        <v>67816</v>
      </c>
      <c r="X190" s="122">
        <f t="shared" si="136"/>
        <v>8096373</v>
      </c>
      <c r="Y190" s="122">
        <f t="shared" si="136"/>
        <v>403535</v>
      </c>
      <c r="Z190" s="122">
        <f t="shared" si="136"/>
        <v>8499908</v>
      </c>
    </row>
    <row r="191" spans="1:26" ht="32.25" customHeight="1">
      <c r="A191" s="910" t="s">
        <v>638</v>
      </c>
      <c r="B191" s="911"/>
      <c r="C191" s="911"/>
      <c r="D191" s="911"/>
      <c r="E191" s="911"/>
      <c r="F191" s="911"/>
      <c r="G191" s="911"/>
      <c r="H191" s="911"/>
      <c r="I191" s="911"/>
      <c r="J191" s="911"/>
      <c r="K191" s="911"/>
      <c r="L191" s="911"/>
      <c r="M191" s="911"/>
      <c r="N191" s="911"/>
      <c r="O191" s="911"/>
      <c r="P191" s="911"/>
      <c r="Q191" s="911"/>
      <c r="R191" s="911"/>
      <c r="S191" s="911"/>
      <c r="T191" s="911"/>
      <c r="U191" s="911"/>
      <c r="V191" s="911"/>
      <c r="W191" s="911"/>
      <c r="X191" s="911"/>
      <c r="Y191" s="911"/>
      <c r="Z191" s="911"/>
    </row>
    <row r="193" spans="10:25">
      <c r="M193" s="41"/>
      <c r="O193" t="s">
        <v>420</v>
      </c>
      <c r="P193" s="41">
        <f>P190-'[1]Kiadások 2m'!O163</f>
        <v>0</v>
      </c>
      <c r="Q193" s="41">
        <f>Q190-'[1]Kiadások 2m'!P163</f>
        <v>0</v>
      </c>
      <c r="R193" s="41">
        <f>R190-'[1]Kiadások 2m'!Q163</f>
        <v>0</v>
      </c>
      <c r="S193" s="41">
        <f>S190-'[1]Kiadások 2m'!R163</f>
        <v>0</v>
      </c>
      <c r="T193" s="41">
        <f>T190-'[1]Kiadások 2m'!S163</f>
        <v>0</v>
      </c>
      <c r="U193" s="625"/>
      <c r="W193" s="625"/>
      <c r="Y193" s="625"/>
    </row>
    <row r="194" spans="10:25">
      <c r="M194" s="41"/>
      <c r="U194" s="625"/>
      <c r="W194" s="625"/>
      <c r="Y194" s="625"/>
    </row>
    <row r="197" spans="10:25">
      <c r="J197" s="41"/>
    </row>
  </sheetData>
  <mergeCells count="3">
    <mergeCell ref="A1:Z1"/>
    <mergeCell ref="B4:E4"/>
    <mergeCell ref="A191:Z191"/>
  </mergeCells>
  <pageMargins left="0.7" right="0.7" top="0.75" bottom="0.75" header="0.3" footer="0.3"/>
  <pageSetup paperSize="9" scale="41" orientation="portrait" r:id="rId1"/>
  <rowBreaks count="1" manualBreakCount="1"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1D4E-288B-4DDA-9BB0-D069C32A2885}">
  <dimension ref="A1:X26"/>
  <sheetViews>
    <sheetView view="pageBreakPreview" zoomScale="60" zoomScaleNormal="100" workbookViewId="0">
      <selection activeCell="B31" sqref="B31"/>
    </sheetView>
  </sheetViews>
  <sheetFormatPr defaultColWidth="9.140625" defaultRowHeight="15.75"/>
  <cols>
    <col min="1" max="2" width="9.140625" style="181"/>
    <col min="3" max="3" width="45.85546875" style="181" customWidth="1"/>
    <col min="4" max="4" width="3" style="181" hidden="1" customWidth="1"/>
    <col min="5" max="5" width="11" style="181" hidden="1" customWidth="1"/>
    <col min="6" max="6" width="15.42578125" style="181" hidden="1" customWidth="1"/>
    <col min="7" max="7" width="14.42578125" style="181" hidden="1" customWidth="1"/>
    <col min="8" max="8" width="15.42578125" style="181" hidden="1" customWidth="1"/>
    <col min="9" max="9" width="14.140625" style="181" hidden="1" customWidth="1"/>
    <col min="10" max="10" width="13.42578125" style="181" hidden="1" customWidth="1"/>
    <col min="11" max="11" width="0.42578125" style="181" hidden="1" customWidth="1"/>
    <col min="12" max="12" width="17.140625" style="181" hidden="1" customWidth="1"/>
    <col min="13" max="13" width="16.42578125" style="181" hidden="1" customWidth="1"/>
    <col min="14" max="16" width="20.85546875" style="181" hidden="1" customWidth="1"/>
    <col min="17" max="17" width="16" style="181" customWidth="1"/>
    <col min="18" max="18" width="17.140625" style="181" customWidth="1"/>
    <col min="19" max="19" width="14.85546875" style="181" hidden="1" customWidth="1"/>
    <col min="20" max="20" width="16.42578125" style="181" customWidth="1"/>
    <col min="21" max="21" width="14.85546875" style="658" hidden="1" customWidth="1"/>
    <col min="22" max="24" width="14.85546875" style="658" customWidth="1"/>
    <col min="25" max="16384" width="9.140625" style="181"/>
  </cols>
  <sheetData>
    <row r="1" spans="1:24" s="921" customFormat="1">
      <c r="A1" s="922" t="s">
        <v>667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</row>
    <row r="2" spans="1:24">
      <c r="A2" s="792" t="s">
        <v>537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</row>
    <row r="4" spans="1:24">
      <c r="P4" s="182" t="s">
        <v>71</v>
      </c>
      <c r="Q4" s="182"/>
      <c r="R4" s="182"/>
      <c r="S4" s="182"/>
      <c r="T4" s="182"/>
      <c r="U4" s="560"/>
      <c r="V4" s="560"/>
      <c r="W4" s="560"/>
      <c r="X4" s="560" t="s">
        <v>56</v>
      </c>
    </row>
    <row r="5" spans="1:24">
      <c r="A5" s="183"/>
      <c r="B5" s="184" t="s">
        <v>414</v>
      </c>
      <c r="C5" s="184" t="s">
        <v>415</v>
      </c>
      <c r="D5" s="184"/>
      <c r="E5" s="184"/>
      <c r="F5" s="184"/>
      <c r="G5" s="184"/>
      <c r="H5" s="184"/>
      <c r="I5" s="184"/>
      <c r="J5" s="184"/>
      <c r="K5" s="184"/>
      <c r="L5" s="184"/>
      <c r="M5" s="184" t="s">
        <v>416</v>
      </c>
      <c r="N5" s="184" t="s">
        <v>416</v>
      </c>
      <c r="O5" s="184" t="s">
        <v>416</v>
      </c>
      <c r="P5" s="184" t="s">
        <v>416</v>
      </c>
      <c r="Q5" s="184" t="s">
        <v>416</v>
      </c>
      <c r="R5" s="184" t="s">
        <v>417</v>
      </c>
      <c r="S5" s="184" t="s">
        <v>461</v>
      </c>
      <c r="T5" s="184" t="s">
        <v>461</v>
      </c>
      <c r="U5" s="655" t="s">
        <v>419</v>
      </c>
      <c r="V5" s="655" t="s">
        <v>419</v>
      </c>
      <c r="W5" s="655" t="s">
        <v>424</v>
      </c>
      <c r="X5" s="655" t="s">
        <v>425</v>
      </c>
    </row>
    <row r="6" spans="1:24">
      <c r="A6" s="731">
        <v>1</v>
      </c>
      <c r="B6" s="732" t="s">
        <v>117</v>
      </c>
      <c r="C6" s="737" t="s">
        <v>55</v>
      </c>
      <c r="D6" s="717" t="s">
        <v>104</v>
      </c>
      <c r="E6" s="723" t="s">
        <v>113</v>
      </c>
      <c r="F6" s="736" t="s">
        <v>109</v>
      </c>
      <c r="G6" s="789" t="s">
        <v>111</v>
      </c>
      <c r="H6" s="736" t="s">
        <v>115</v>
      </c>
      <c r="I6" s="793" t="s">
        <v>111</v>
      </c>
      <c r="J6" s="795" t="s">
        <v>258</v>
      </c>
      <c r="K6" s="793" t="s">
        <v>111</v>
      </c>
      <c r="L6" s="716" t="s">
        <v>260</v>
      </c>
      <c r="M6" s="716" t="s">
        <v>457</v>
      </c>
      <c r="N6" s="716" t="s">
        <v>460</v>
      </c>
      <c r="O6" s="715" t="s">
        <v>484</v>
      </c>
      <c r="P6" s="715" t="s">
        <v>501</v>
      </c>
      <c r="Q6" s="715" t="s">
        <v>536</v>
      </c>
      <c r="R6" s="721" t="s">
        <v>581</v>
      </c>
      <c r="S6" s="721" t="s">
        <v>111</v>
      </c>
      <c r="T6" s="721" t="s">
        <v>609</v>
      </c>
      <c r="U6" s="724" t="s">
        <v>111</v>
      </c>
      <c r="V6" s="724" t="s">
        <v>637</v>
      </c>
      <c r="W6" s="724" t="s">
        <v>111</v>
      </c>
      <c r="X6" s="724" t="s">
        <v>582</v>
      </c>
    </row>
    <row r="7" spans="1:24">
      <c r="A7" s="731"/>
      <c r="B7" s="788"/>
      <c r="C7" s="739"/>
      <c r="D7" s="714"/>
      <c r="E7" s="754"/>
      <c r="F7" s="736"/>
      <c r="G7" s="789"/>
      <c r="H7" s="789"/>
      <c r="I7" s="793"/>
      <c r="J7" s="795"/>
      <c r="K7" s="793"/>
      <c r="L7" s="716"/>
      <c r="M7" s="716"/>
      <c r="N7" s="716"/>
      <c r="O7" s="716"/>
      <c r="P7" s="716"/>
      <c r="Q7" s="716"/>
      <c r="R7" s="722"/>
      <c r="S7" s="722"/>
      <c r="T7" s="722"/>
      <c r="U7" s="725"/>
      <c r="V7" s="725"/>
      <c r="W7" s="725"/>
      <c r="X7" s="725"/>
    </row>
    <row r="8" spans="1:24">
      <c r="A8" s="732"/>
      <c r="B8" s="788"/>
      <c r="C8" s="739"/>
      <c r="D8" s="714"/>
      <c r="E8" s="754"/>
      <c r="F8" s="737"/>
      <c r="G8" s="790"/>
      <c r="H8" s="790"/>
      <c r="I8" s="794"/>
      <c r="J8" s="796"/>
      <c r="K8" s="794"/>
      <c r="L8" s="717"/>
      <c r="M8" s="717"/>
      <c r="N8" s="717"/>
      <c r="O8" s="717"/>
      <c r="P8" s="717"/>
      <c r="Q8" s="717"/>
      <c r="R8" s="723"/>
      <c r="S8" s="723"/>
      <c r="T8" s="723"/>
      <c r="U8" s="726"/>
      <c r="V8" s="726"/>
      <c r="W8" s="726"/>
      <c r="X8" s="726"/>
    </row>
    <row r="9" spans="1:24">
      <c r="A9" s="186">
        <v>2</v>
      </c>
      <c r="B9" s="186" t="s">
        <v>72</v>
      </c>
      <c r="C9" s="188" t="s">
        <v>118</v>
      </c>
      <c r="D9" s="219" t="e">
        <f>D10+D11+#REF!+#REF!+#REF!+#REF!+D13</f>
        <v>#REF!</v>
      </c>
      <c r="E9" s="219" t="e">
        <f>E10+E11+#REF!+#REF!+#REF!+#REF!+E13</f>
        <v>#REF!</v>
      </c>
      <c r="F9" s="219" t="e">
        <f>F10+F11+#REF!+F13</f>
        <v>#REF!</v>
      </c>
      <c r="G9" s="219" t="e">
        <f>G10+G11+#REF!+#REF!+#REF!+#REF!+G13</f>
        <v>#REF!</v>
      </c>
      <c r="H9" s="219" t="e">
        <f>H10+#REF!+H13</f>
        <v>#REF!</v>
      </c>
      <c r="I9" s="187">
        <v>0</v>
      </c>
      <c r="J9" s="189" t="e">
        <f>H9+I9</f>
        <v>#REF!</v>
      </c>
      <c r="K9" s="189">
        <v>-34344</v>
      </c>
      <c r="L9" s="189" t="e">
        <f>J9+K9</f>
        <v>#REF!</v>
      </c>
      <c r="M9" s="189" t="e">
        <f>M10+M11+#REF!+M12+M13</f>
        <v>#REF!</v>
      </c>
      <c r="N9" s="189">
        <f>SUM(N10:N21)</f>
        <v>132149</v>
      </c>
      <c r="O9" s="189">
        <f>SUM(O10:O21)</f>
        <v>88281</v>
      </c>
      <c r="P9" s="189">
        <f>SUM(P10:P21)</f>
        <v>373698</v>
      </c>
      <c r="Q9" s="189">
        <f>SUM(Q10:Q21)</f>
        <v>53915</v>
      </c>
      <c r="R9" s="189">
        <f>SUM(R10:R21)</f>
        <v>53915</v>
      </c>
      <c r="S9" s="189">
        <f t="shared" ref="S9:X9" si="0">SUM(S10:S21)</f>
        <v>0</v>
      </c>
      <c r="T9" s="189">
        <f t="shared" si="0"/>
        <v>53915</v>
      </c>
      <c r="U9" s="656">
        <f t="shared" si="0"/>
        <v>0</v>
      </c>
      <c r="V9" s="656">
        <f t="shared" si="0"/>
        <v>53915</v>
      </c>
      <c r="W9" s="656">
        <f t="shared" si="0"/>
        <v>0</v>
      </c>
      <c r="X9" s="656">
        <f t="shared" si="0"/>
        <v>53915</v>
      </c>
    </row>
    <row r="10" spans="1:24" ht="31.5">
      <c r="A10" s="186">
        <v>3</v>
      </c>
      <c r="B10" s="186" t="s">
        <v>73</v>
      </c>
      <c r="C10" s="220" t="s">
        <v>119</v>
      </c>
      <c r="D10" s="221">
        <v>145848</v>
      </c>
      <c r="E10" s="187">
        <v>52481</v>
      </c>
      <c r="F10" s="187">
        <v>64676</v>
      </c>
      <c r="G10" s="183">
        <v>0</v>
      </c>
      <c r="H10" s="187">
        <v>64676</v>
      </c>
      <c r="I10" s="187"/>
      <c r="J10" s="187">
        <f>H10+I10</f>
        <v>64676</v>
      </c>
      <c r="K10" s="187">
        <v>-34344</v>
      </c>
      <c r="L10" s="187">
        <f>J10+K10</f>
        <v>30332</v>
      </c>
      <c r="M10" s="187">
        <v>30332</v>
      </c>
      <c r="N10" s="187">
        <v>30332</v>
      </c>
      <c r="O10" s="187">
        <v>30332</v>
      </c>
      <c r="P10" s="187">
        <v>30332</v>
      </c>
      <c r="Q10" s="187">
        <v>30332</v>
      </c>
      <c r="R10" s="187">
        <v>30332</v>
      </c>
      <c r="S10" s="187">
        <v>0</v>
      </c>
      <c r="T10" s="187">
        <v>30332</v>
      </c>
      <c r="U10" s="657">
        <v>0</v>
      </c>
      <c r="V10" s="657">
        <v>30332</v>
      </c>
      <c r="W10" s="657">
        <v>0</v>
      </c>
      <c r="X10" s="657">
        <v>30332</v>
      </c>
    </row>
    <row r="11" spans="1:24">
      <c r="A11" s="186">
        <v>4</v>
      </c>
      <c r="B11" s="186" t="s">
        <v>74</v>
      </c>
      <c r="C11" s="220" t="s">
        <v>397</v>
      </c>
      <c r="D11" s="221">
        <v>18176</v>
      </c>
      <c r="E11" s="187">
        <v>0</v>
      </c>
      <c r="F11" s="187">
        <v>0</v>
      </c>
      <c r="G11" s="183">
        <v>0</v>
      </c>
      <c r="H11" s="187">
        <v>0</v>
      </c>
      <c r="I11" s="187">
        <v>0</v>
      </c>
      <c r="J11" s="187">
        <v>0</v>
      </c>
      <c r="K11" s="187">
        <v>0</v>
      </c>
      <c r="L11" s="187">
        <v>0</v>
      </c>
      <c r="M11" s="187">
        <v>15425</v>
      </c>
      <c r="N11" s="187">
        <v>44859</v>
      </c>
      <c r="O11" s="187">
        <v>30819</v>
      </c>
      <c r="P11" s="187">
        <v>140784</v>
      </c>
      <c r="Q11" s="187">
        <v>0</v>
      </c>
      <c r="R11" s="187">
        <v>0</v>
      </c>
      <c r="S11" s="187">
        <v>0</v>
      </c>
      <c r="T11" s="187">
        <v>0</v>
      </c>
      <c r="U11" s="657">
        <v>0</v>
      </c>
      <c r="V11" s="657">
        <v>0</v>
      </c>
      <c r="W11" s="657">
        <v>0</v>
      </c>
      <c r="X11" s="657">
        <v>0</v>
      </c>
    </row>
    <row r="12" spans="1:24" ht="31.5">
      <c r="A12" s="186">
        <v>5</v>
      </c>
      <c r="B12" s="186" t="s">
        <v>75</v>
      </c>
      <c r="C12" s="220" t="s">
        <v>398</v>
      </c>
      <c r="D12" s="221"/>
      <c r="E12" s="187"/>
      <c r="F12" s="187">
        <v>0</v>
      </c>
      <c r="G12" s="183"/>
      <c r="H12" s="187"/>
      <c r="I12" s="187"/>
      <c r="J12" s="187"/>
      <c r="K12" s="187"/>
      <c r="L12" s="187">
        <v>0</v>
      </c>
      <c r="M12" s="187">
        <v>23410</v>
      </c>
      <c r="N12" s="187">
        <v>23410</v>
      </c>
      <c r="O12" s="187">
        <v>23582</v>
      </c>
      <c r="P12" s="187">
        <v>23582</v>
      </c>
      <c r="Q12" s="187">
        <v>23583</v>
      </c>
      <c r="R12" s="187">
        <v>23583</v>
      </c>
      <c r="S12" s="187">
        <v>0</v>
      </c>
      <c r="T12" s="187">
        <v>23583</v>
      </c>
      <c r="U12" s="657">
        <v>0</v>
      </c>
      <c r="V12" s="657">
        <v>23583</v>
      </c>
      <c r="W12" s="657">
        <v>0</v>
      </c>
      <c r="X12" s="657">
        <v>23583</v>
      </c>
    </row>
    <row r="13" spans="1:24" ht="47.25">
      <c r="A13" s="186">
        <v>6</v>
      </c>
      <c r="B13" s="186" t="s">
        <v>76</v>
      </c>
      <c r="C13" s="222" t="s">
        <v>436</v>
      </c>
      <c r="D13" s="221">
        <v>223195</v>
      </c>
      <c r="E13" s="187">
        <v>352792</v>
      </c>
      <c r="F13" s="187">
        <v>91424</v>
      </c>
      <c r="G13" s="187">
        <v>0</v>
      </c>
      <c r="H13" s="187">
        <v>91424</v>
      </c>
      <c r="I13" s="187"/>
      <c r="J13" s="187">
        <v>91424</v>
      </c>
      <c r="K13" s="187">
        <v>0</v>
      </c>
      <c r="L13" s="187">
        <v>91424</v>
      </c>
      <c r="M13" s="187">
        <v>0</v>
      </c>
      <c r="N13" s="187">
        <v>33548</v>
      </c>
      <c r="O13" s="187">
        <v>3548</v>
      </c>
      <c r="P13" s="187">
        <v>0</v>
      </c>
      <c r="Q13" s="187">
        <v>0</v>
      </c>
      <c r="R13" s="187">
        <v>0</v>
      </c>
      <c r="S13" s="187">
        <v>0</v>
      </c>
      <c r="T13" s="187">
        <v>0</v>
      </c>
      <c r="U13" s="657">
        <v>0</v>
      </c>
      <c r="V13" s="657">
        <v>0</v>
      </c>
      <c r="W13" s="657">
        <v>0</v>
      </c>
      <c r="X13" s="657">
        <v>0</v>
      </c>
    </row>
    <row r="14" spans="1:24">
      <c r="A14" s="186">
        <v>7</v>
      </c>
      <c r="B14" s="186" t="s">
        <v>77</v>
      </c>
      <c r="C14" s="222" t="s">
        <v>493</v>
      </c>
      <c r="D14" s="221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>
        <v>0</v>
      </c>
      <c r="P14" s="187">
        <v>75000</v>
      </c>
      <c r="Q14" s="187">
        <v>0</v>
      </c>
      <c r="R14" s="187">
        <v>0</v>
      </c>
      <c r="S14" s="187">
        <v>0</v>
      </c>
      <c r="T14" s="187">
        <v>0</v>
      </c>
      <c r="U14" s="657">
        <v>0</v>
      </c>
      <c r="V14" s="657">
        <v>0</v>
      </c>
      <c r="W14" s="657">
        <v>0</v>
      </c>
      <c r="X14" s="657">
        <v>0</v>
      </c>
    </row>
    <row r="15" spans="1:24" ht="31.5">
      <c r="A15" s="186">
        <v>8</v>
      </c>
      <c r="B15" s="186" t="s">
        <v>78</v>
      </c>
      <c r="C15" s="222" t="s">
        <v>494</v>
      </c>
      <c r="D15" s="221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>
        <v>0</v>
      </c>
      <c r="P15" s="187">
        <v>33000</v>
      </c>
      <c r="Q15" s="187">
        <v>0</v>
      </c>
      <c r="R15" s="187">
        <v>0</v>
      </c>
      <c r="S15" s="187">
        <v>0</v>
      </c>
      <c r="T15" s="187">
        <v>0</v>
      </c>
      <c r="U15" s="657">
        <v>0</v>
      </c>
      <c r="V15" s="657">
        <v>0</v>
      </c>
      <c r="W15" s="657">
        <v>0</v>
      </c>
      <c r="X15" s="657">
        <v>0</v>
      </c>
    </row>
    <row r="16" spans="1:24">
      <c r="A16" s="186">
        <v>9</v>
      </c>
      <c r="B16" s="186" t="s">
        <v>79</v>
      </c>
      <c r="C16" s="222" t="s">
        <v>495</v>
      </c>
      <c r="D16" s="221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>
        <v>0</v>
      </c>
      <c r="P16" s="187">
        <v>1000</v>
      </c>
      <c r="Q16" s="187">
        <v>0</v>
      </c>
      <c r="R16" s="187">
        <v>0</v>
      </c>
      <c r="S16" s="187">
        <v>0</v>
      </c>
      <c r="T16" s="187">
        <v>0</v>
      </c>
      <c r="U16" s="657">
        <v>0</v>
      </c>
      <c r="V16" s="657">
        <v>0</v>
      </c>
      <c r="W16" s="657">
        <v>0</v>
      </c>
      <c r="X16" s="657">
        <v>0</v>
      </c>
    </row>
    <row r="17" spans="1:24">
      <c r="A17" s="186">
        <v>10</v>
      </c>
      <c r="B17" s="186" t="s">
        <v>80</v>
      </c>
      <c r="C17" s="222" t="s">
        <v>500</v>
      </c>
      <c r="D17" s="221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>
        <v>0</v>
      </c>
      <c r="P17" s="187">
        <v>30000</v>
      </c>
      <c r="Q17" s="187">
        <v>0</v>
      </c>
      <c r="R17" s="187">
        <v>0</v>
      </c>
      <c r="S17" s="187">
        <v>0</v>
      </c>
      <c r="T17" s="187">
        <v>0</v>
      </c>
      <c r="U17" s="657">
        <v>0</v>
      </c>
      <c r="V17" s="657">
        <v>0</v>
      </c>
      <c r="W17" s="657">
        <v>0</v>
      </c>
      <c r="X17" s="657">
        <v>0</v>
      </c>
    </row>
    <row r="18" spans="1:24">
      <c r="A18" s="186">
        <v>11</v>
      </c>
      <c r="B18" s="186" t="s">
        <v>81</v>
      </c>
      <c r="C18" s="220" t="s">
        <v>479</v>
      </c>
      <c r="D18" s="221"/>
      <c r="E18" s="187"/>
      <c r="F18" s="187"/>
      <c r="G18" s="183"/>
      <c r="H18" s="187"/>
      <c r="I18" s="187"/>
      <c r="J18" s="187"/>
      <c r="K18" s="187"/>
      <c r="L18" s="187"/>
      <c r="M18" s="187"/>
      <c r="N18" s="187"/>
      <c r="O18" s="187">
        <v>0</v>
      </c>
      <c r="P18" s="187">
        <v>2000</v>
      </c>
      <c r="Q18" s="187">
        <v>0</v>
      </c>
      <c r="R18" s="187">
        <v>0</v>
      </c>
      <c r="S18" s="187">
        <v>0</v>
      </c>
      <c r="T18" s="187">
        <v>0</v>
      </c>
      <c r="U18" s="657">
        <v>0</v>
      </c>
      <c r="V18" s="657">
        <v>0</v>
      </c>
      <c r="W18" s="657">
        <v>0</v>
      </c>
      <c r="X18" s="657">
        <v>0</v>
      </c>
    </row>
    <row r="19" spans="1:24">
      <c r="A19" s="186">
        <v>12</v>
      </c>
      <c r="B19" s="186" t="s">
        <v>82</v>
      </c>
      <c r="C19" s="220" t="s">
        <v>496</v>
      </c>
      <c r="D19" s="221"/>
      <c r="E19" s="187"/>
      <c r="F19" s="187"/>
      <c r="G19" s="183"/>
      <c r="H19" s="187"/>
      <c r="I19" s="187"/>
      <c r="J19" s="187"/>
      <c r="K19" s="187"/>
      <c r="L19" s="187"/>
      <c r="M19" s="187"/>
      <c r="N19" s="187"/>
      <c r="O19" s="187">
        <v>0</v>
      </c>
      <c r="P19" s="187">
        <v>9000</v>
      </c>
      <c r="Q19" s="187">
        <v>0</v>
      </c>
      <c r="R19" s="187">
        <v>0</v>
      </c>
      <c r="S19" s="187">
        <v>0</v>
      </c>
      <c r="T19" s="187">
        <v>0</v>
      </c>
      <c r="U19" s="657">
        <v>0</v>
      </c>
      <c r="V19" s="657">
        <v>0</v>
      </c>
      <c r="W19" s="657">
        <v>0</v>
      </c>
      <c r="X19" s="657">
        <v>0</v>
      </c>
    </row>
    <row r="20" spans="1:24">
      <c r="A20" s="186">
        <v>13</v>
      </c>
      <c r="B20" s="186" t="s">
        <v>83</v>
      </c>
      <c r="C20" s="220" t="s">
        <v>478</v>
      </c>
      <c r="D20" s="221"/>
      <c r="E20" s="187"/>
      <c r="F20" s="187"/>
      <c r="G20" s="183"/>
      <c r="H20" s="187"/>
      <c r="I20" s="187"/>
      <c r="J20" s="187"/>
      <c r="K20" s="187"/>
      <c r="L20" s="187"/>
      <c r="M20" s="187"/>
      <c r="N20" s="187"/>
      <c r="O20" s="187">
        <v>0</v>
      </c>
      <c r="P20" s="187">
        <v>5000</v>
      </c>
      <c r="Q20" s="187">
        <v>0</v>
      </c>
      <c r="R20" s="187">
        <v>0</v>
      </c>
      <c r="S20" s="187">
        <v>0</v>
      </c>
      <c r="T20" s="187">
        <v>0</v>
      </c>
      <c r="U20" s="657">
        <v>0</v>
      </c>
      <c r="V20" s="657">
        <v>0</v>
      </c>
      <c r="W20" s="657">
        <v>0</v>
      </c>
      <c r="X20" s="657">
        <v>0</v>
      </c>
    </row>
    <row r="21" spans="1:24" ht="31.5">
      <c r="A21" s="186">
        <v>14</v>
      </c>
      <c r="B21" s="186" t="s">
        <v>84</v>
      </c>
      <c r="C21" s="220" t="s">
        <v>497</v>
      </c>
      <c r="D21" s="221"/>
      <c r="E21" s="187"/>
      <c r="F21" s="187"/>
      <c r="G21" s="183"/>
      <c r="H21" s="187"/>
      <c r="I21" s="187"/>
      <c r="J21" s="187"/>
      <c r="K21" s="187"/>
      <c r="L21" s="187"/>
      <c r="M21" s="187"/>
      <c r="N21" s="187"/>
      <c r="O21" s="187">
        <v>0</v>
      </c>
      <c r="P21" s="187">
        <v>24000</v>
      </c>
      <c r="Q21" s="187">
        <v>0</v>
      </c>
      <c r="R21" s="187">
        <v>0</v>
      </c>
      <c r="S21" s="187">
        <v>0</v>
      </c>
      <c r="T21" s="187">
        <v>0</v>
      </c>
      <c r="U21" s="657">
        <v>0</v>
      </c>
      <c r="V21" s="657">
        <v>0</v>
      </c>
      <c r="W21" s="657">
        <v>0</v>
      </c>
      <c r="X21" s="657">
        <v>0</v>
      </c>
    </row>
    <row r="22" spans="1:24" s="224" customFormat="1">
      <c r="A22" s="186">
        <v>15</v>
      </c>
      <c r="B22" s="186" t="s">
        <v>85</v>
      </c>
      <c r="C22" s="223" t="s">
        <v>120</v>
      </c>
      <c r="D22" s="219">
        <v>50000</v>
      </c>
      <c r="E22" s="189">
        <v>7312</v>
      </c>
      <c r="F22" s="189">
        <v>50000</v>
      </c>
      <c r="G22" s="189">
        <v>489830</v>
      </c>
      <c r="H22" s="189">
        <f>G22+F22</f>
        <v>539830</v>
      </c>
      <c r="I22" s="189">
        <f>'[1]Kiadások 2m'!J148</f>
        <v>-212854</v>
      </c>
      <c r="J22" s="189">
        <f>H22+I22</f>
        <v>326976</v>
      </c>
      <c r="K22" s="189">
        <f>'[1]Kiadások 2m'!L148</f>
        <v>-156406</v>
      </c>
      <c r="L22" s="189">
        <f>J22+K22</f>
        <v>170570</v>
      </c>
      <c r="M22" s="189">
        <v>298576</v>
      </c>
      <c r="N22" s="189">
        <v>542717</v>
      </c>
      <c r="O22" s="189">
        <v>430053</v>
      </c>
      <c r="P22" s="189">
        <v>218351</v>
      </c>
      <c r="Q22" s="189">
        <f>'[1]Kiadások 2m'!R17</f>
        <v>222074</v>
      </c>
      <c r="R22" s="189">
        <f>'[1]Kiadások 2m'!S17</f>
        <v>202181</v>
      </c>
      <c r="S22" s="189">
        <f>'[1]Kiadások 2m'!T17</f>
        <v>-3494</v>
      </c>
      <c r="T22" s="189">
        <f>'[1]Kiadások 2m'!U17</f>
        <v>198687</v>
      </c>
      <c r="U22" s="656">
        <f>-29065</f>
        <v>-29065</v>
      </c>
      <c r="V22" s="656">
        <f>SUM(T22:U22)</f>
        <v>169622</v>
      </c>
      <c r="W22" s="656">
        <v>-8149</v>
      </c>
      <c r="X22" s="656">
        <f>SUM(V22:W22)</f>
        <v>161473</v>
      </c>
    </row>
    <row r="23" spans="1:24" s="224" customFormat="1">
      <c r="A23" s="186">
        <v>16</v>
      </c>
      <c r="B23" s="186" t="s">
        <v>86</v>
      </c>
      <c r="C23" s="188" t="s">
        <v>121</v>
      </c>
      <c r="D23" s="219" t="e">
        <f>D9+D22</f>
        <v>#REF!</v>
      </c>
      <c r="E23" s="219" t="e">
        <f>E9+E22</f>
        <v>#REF!</v>
      </c>
      <c r="F23" s="219" t="e">
        <f>F9+F22</f>
        <v>#REF!</v>
      </c>
      <c r="G23" s="219" t="e">
        <f>G9+G22</f>
        <v>#REF!</v>
      </c>
      <c r="H23" s="219" t="e">
        <f>H9+H22</f>
        <v>#REF!</v>
      </c>
      <c r="I23" s="189">
        <f>I22+I9</f>
        <v>-212854</v>
      </c>
      <c r="J23" s="189" t="e">
        <f>J9+J22</f>
        <v>#REF!</v>
      </c>
      <c r="K23" s="189">
        <f>K22+K9</f>
        <v>-190750</v>
      </c>
      <c r="L23" s="189" t="e">
        <f>L9+L22</f>
        <v>#REF!</v>
      </c>
      <c r="M23" s="189" t="e">
        <f>M22+M9</f>
        <v>#REF!</v>
      </c>
      <c r="N23" s="189">
        <f>SUM(N9,N22)</f>
        <v>674866</v>
      </c>
      <c r="O23" s="189">
        <f>SUM(O9,O22)</f>
        <v>518334</v>
      </c>
      <c r="P23" s="189">
        <f>SUM(P9,P22)</f>
        <v>592049</v>
      </c>
      <c r="Q23" s="189">
        <f>SUM(Q9,Q22)</f>
        <v>275989</v>
      </c>
      <c r="R23" s="189">
        <f>SUM(R9,R22)</f>
        <v>256096</v>
      </c>
      <c r="S23" s="189">
        <f t="shared" ref="S23:X23" si="1">SUM(S9,S22)</f>
        <v>-3494</v>
      </c>
      <c r="T23" s="189">
        <f t="shared" si="1"/>
        <v>252602</v>
      </c>
      <c r="U23" s="656">
        <f t="shared" si="1"/>
        <v>-29065</v>
      </c>
      <c r="V23" s="656">
        <f t="shared" si="1"/>
        <v>223537</v>
      </c>
      <c r="W23" s="656">
        <f t="shared" si="1"/>
        <v>-8149</v>
      </c>
      <c r="X23" s="656">
        <f t="shared" si="1"/>
        <v>215388</v>
      </c>
    </row>
    <row r="24" spans="1:24" customFormat="1" ht="39" customHeight="1">
      <c r="A24" s="791" t="s">
        <v>668</v>
      </c>
      <c r="B24" s="791"/>
      <c r="C24" s="791"/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91"/>
      <c r="R24" s="791"/>
      <c r="S24" s="791"/>
      <c r="T24" s="791"/>
      <c r="U24" s="791"/>
      <c r="V24" s="791"/>
      <c r="W24" s="791"/>
      <c r="X24" s="791"/>
    </row>
    <row r="25" spans="1:24">
      <c r="B25" s="217"/>
      <c r="C25" s="218"/>
      <c r="D25" s="4"/>
      <c r="E25" s="4"/>
      <c r="F25" s="41"/>
      <c r="G25" s="41"/>
      <c r="H25" s="41"/>
      <c r="I25" s="163"/>
    </row>
    <row r="26" spans="1:24">
      <c r="M26" s="181" t="s">
        <v>420</v>
      </c>
      <c r="N26" s="192">
        <f>N23-SUM('[1]Kiadások 2m'!O148:O149)</f>
        <v>0</v>
      </c>
      <c r="O26" s="192">
        <f>O23-SUM('[1]Kiadások 2m'!P148:P149)</f>
        <v>0</v>
      </c>
      <c r="P26" s="192">
        <f>P23-SUM('[1]Kiadások 2m'!Q148:Q149)</f>
        <v>0</v>
      </c>
      <c r="Q26" s="192">
        <f>Q23-SUM('[1]Kiadások 2m'!R148:R149)</f>
        <v>0</v>
      </c>
      <c r="R26" s="192">
        <f>R23-SUM('[1]Kiadások 2m'!S148:S149)</f>
        <v>0</v>
      </c>
      <c r="S26" s="192">
        <f>S23-SUM('[1]Kiadások 2m'!T148:T149)</f>
        <v>0</v>
      </c>
      <c r="T26" s="192">
        <f>T23-SUM('[1]Kiadások 2m'!U148:U149)</f>
        <v>0</v>
      </c>
      <c r="U26" s="659">
        <f>U23-SUM('[1]Kiadások 2m'!V148:V149)</f>
        <v>-29065</v>
      </c>
      <c r="V26" s="659">
        <f>V23-SUM('[1]Kiadások 2m'!W148:W149)</f>
        <v>223537</v>
      </c>
      <c r="W26" s="659">
        <f>W23-SUM('[1]Kiadások 2m'!X148:X149)</f>
        <v>-8149</v>
      </c>
      <c r="X26" s="659">
        <f>X23-SUM('[1]Kiadások 2m'!Y148:Y149)</f>
        <v>215388</v>
      </c>
    </row>
  </sheetData>
  <mergeCells count="27">
    <mergeCell ref="T6:T8"/>
    <mergeCell ref="U6:U8"/>
    <mergeCell ref="V6:V8"/>
    <mergeCell ref="W6:W8"/>
    <mergeCell ref="X6:X8"/>
    <mergeCell ref="A24:X24"/>
    <mergeCell ref="N6:N8"/>
    <mergeCell ref="O6:O8"/>
    <mergeCell ref="P6:P8"/>
    <mergeCell ref="Q6:Q8"/>
    <mergeCell ref="R6:R8"/>
    <mergeCell ref="S6:S8"/>
    <mergeCell ref="H6:H8"/>
    <mergeCell ref="I6:I8"/>
    <mergeCell ref="J6:J8"/>
    <mergeCell ref="K6:K8"/>
    <mergeCell ref="L6:L8"/>
    <mergeCell ref="M6:M8"/>
    <mergeCell ref="A1:X1"/>
    <mergeCell ref="A2:X2"/>
    <mergeCell ref="A6:A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798B-7135-4A80-9409-A0CFA19BBA75}">
  <dimension ref="A1:X30"/>
  <sheetViews>
    <sheetView view="pageBreakPreview" zoomScale="60" zoomScaleNormal="100" workbookViewId="0">
      <selection activeCell="A28" sqref="A28:G28"/>
    </sheetView>
  </sheetViews>
  <sheetFormatPr defaultColWidth="9.140625" defaultRowHeight="15"/>
  <cols>
    <col min="1" max="1" width="9.140625" style="238"/>
    <col min="2" max="2" width="9.42578125" style="225" customWidth="1"/>
    <col min="3" max="3" width="43" style="241" customWidth="1"/>
    <col min="4" max="4" width="16.42578125" style="670" customWidth="1"/>
    <col min="5" max="5" width="16.140625" style="670" customWidth="1"/>
    <col min="6" max="7" width="13.42578125" style="670" customWidth="1"/>
    <col min="8" max="8" width="5.42578125" style="225" hidden="1" customWidth="1"/>
    <col min="9" max="9" width="10.85546875" style="225" customWidth="1"/>
    <col min="10" max="10" width="9.140625" style="225" hidden="1" customWidth="1"/>
    <col min="11" max="16384" width="9.140625" style="225"/>
  </cols>
  <sheetData>
    <row r="1" spans="1:24" s="633" customFormat="1" ht="15" customHeight="1">
      <c r="A1" s="679" t="s">
        <v>671</v>
      </c>
      <c r="B1" s="679"/>
      <c r="C1" s="679"/>
      <c r="D1" s="679"/>
      <c r="E1" s="679"/>
      <c r="F1" s="679"/>
      <c r="G1" s="679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2"/>
      <c r="W1" s="632"/>
      <c r="X1" s="632"/>
    </row>
    <row r="2" spans="1:24" ht="44.25" customHeight="1">
      <c r="A2" s="797" t="s">
        <v>554</v>
      </c>
      <c r="B2" s="797"/>
      <c r="C2" s="797"/>
      <c r="D2" s="797"/>
      <c r="E2" s="797"/>
      <c r="F2" s="797"/>
      <c r="G2" s="797"/>
    </row>
    <row r="3" spans="1:24" ht="13.5" customHeight="1">
      <c r="A3" s="156"/>
      <c r="B3" s="226" t="s">
        <v>414</v>
      </c>
      <c r="C3" s="227" t="s">
        <v>415</v>
      </c>
      <c r="D3" s="660" t="s">
        <v>416</v>
      </c>
      <c r="E3" s="660" t="s">
        <v>417</v>
      </c>
      <c r="F3" s="660" t="s">
        <v>418</v>
      </c>
      <c r="G3" s="660" t="s">
        <v>419</v>
      </c>
    </row>
    <row r="4" spans="1:24">
      <c r="A4" s="156"/>
      <c r="B4" s="228"/>
      <c r="C4" s="229"/>
      <c r="D4" s="661"/>
      <c r="E4" s="798" t="s">
        <v>122</v>
      </c>
      <c r="F4" s="798"/>
      <c r="G4" s="798"/>
    </row>
    <row r="5" spans="1:24" ht="30">
      <c r="A5" s="156">
        <v>1</v>
      </c>
      <c r="B5" s="228" t="s">
        <v>58</v>
      </c>
      <c r="C5" s="230" t="s">
        <v>123</v>
      </c>
      <c r="D5" s="662" t="s">
        <v>533</v>
      </c>
      <c r="E5" s="662" t="s">
        <v>534</v>
      </c>
      <c r="F5" s="662" t="s">
        <v>535</v>
      </c>
      <c r="G5" s="662" t="s">
        <v>553</v>
      </c>
      <c r="H5" s="231"/>
      <c r="I5" s="232"/>
    </row>
    <row r="6" spans="1:24" ht="14.25" customHeight="1">
      <c r="A6" s="156">
        <v>2</v>
      </c>
      <c r="B6" s="156" t="s">
        <v>72</v>
      </c>
      <c r="C6" s="229" t="s">
        <v>124</v>
      </c>
      <c r="D6" s="663">
        <f>'[6]Bevételek 1m.'!Z176</f>
        <v>405000</v>
      </c>
      <c r="E6" s="663">
        <f>D6*1.2</f>
        <v>486000</v>
      </c>
      <c r="F6" s="663">
        <f>E6*1.2</f>
        <v>583200</v>
      </c>
      <c r="G6" s="663">
        <f>F6*1.2</f>
        <v>699840</v>
      </c>
    </row>
    <row r="7" spans="1:24" ht="14.25" customHeight="1">
      <c r="A7" s="156">
        <v>3</v>
      </c>
      <c r="B7" s="156" t="s">
        <v>73</v>
      </c>
      <c r="C7" s="233" t="s">
        <v>477</v>
      </c>
      <c r="D7" s="663">
        <f>'[6]Bevételek 1m.'!Z163</f>
        <v>2264741</v>
      </c>
      <c r="E7" s="663">
        <f>D7*1.2-1</f>
        <v>2717688.1999999997</v>
      </c>
      <c r="F7" s="663">
        <f t="shared" ref="F7:G8" si="0">E7*1.2</f>
        <v>3261225.8399999994</v>
      </c>
      <c r="G7" s="663">
        <f>F7*1.2-0.6</f>
        <v>3913470.4079999989</v>
      </c>
      <c r="H7" s="234">
        <f t="shared" ref="H7:H17" si="1">G7*1.02</f>
        <v>3991739.816159999</v>
      </c>
    </row>
    <row r="8" spans="1:24" ht="45">
      <c r="A8" s="156">
        <v>4</v>
      </c>
      <c r="B8" s="156" t="s">
        <v>74</v>
      </c>
      <c r="C8" s="359" t="s">
        <v>514</v>
      </c>
      <c r="D8" s="663">
        <v>16000</v>
      </c>
      <c r="E8" s="663">
        <v>0</v>
      </c>
      <c r="F8" s="663">
        <f t="shared" si="0"/>
        <v>0</v>
      </c>
      <c r="G8" s="663">
        <f t="shared" si="0"/>
        <v>0</v>
      </c>
      <c r="H8" s="234"/>
    </row>
    <row r="9" spans="1:24" ht="14.25" customHeight="1">
      <c r="A9" s="156">
        <v>5</v>
      </c>
      <c r="B9" s="156" t="s">
        <v>75</v>
      </c>
      <c r="C9" s="233" t="s">
        <v>125</v>
      </c>
      <c r="D9" s="663">
        <f>'[6]Bevételek 1m.'!Z171</f>
        <v>364078</v>
      </c>
      <c r="E9" s="663">
        <f t="shared" ref="E9:G21" si="2">D9*1.2</f>
        <v>436893.6</v>
      </c>
      <c r="F9" s="663">
        <f t="shared" si="2"/>
        <v>524272.31999999995</v>
      </c>
      <c r="G9" s="663">
        <f t="shared" si="2"/>
        <v>629126.78399999987</v>
      </c>
      <c r="H9" s="234"/>
    </row>
    <row r="10" spans="1:24" ht="14.25" customHeight="1">
      <c r="A10" s="156">
        <v>6</v>
      </c>
      <c r="B10" s="156" t="s">
        <v>76</v>
      </c>
      <c r="C10" s="233" t="s">
        <v>126</v>
      </c>
      <c r="D10" s="663">
        <f>'[6]Bevételek 1m.'!Z182</f>
        <v>1141882</v>
      </c>
      <c r="E10" s="663">
        <f t="shared" si="2"/>
        <v>1370258.4</v>
      </c>
      <c r="F10" s="663">
        <f t="shared" si="2"/>
        <v>1644310.0799999998</v>
      </c>
      <c r="G10" s="663">
        <f t="shared" si="2"/>
        <v>1973172.0959999997</v>
      </c>
      <c r="H10" s="234"/>
    </row>
    <row r="11" spans="1:24" ht="14.25" customHeight="1">
      <c r="A11" s="156">
        <v>7</v>
      </c>
      <c r="B11" s="156" t="s">
        <v>77</v>
      </c>
      <c r="C11" s="233" t="s">
        <v>127</v>
      </c>
      <c r="D11" s="663">
        <f>'[6]Bevételek 1m.'!Z172</f>
        <v>777869</v>
      </c>
      <c r="E11" s="663">
        <f t="shared" si="2"/>
        <v>933442.79999999993</v>
      </c>
      <c r="F11" s="663">
        <f t="shared" si="2"/>
        <v>1120131.3599999999</v>
      </c>
      <c r="G11" s="663">
        <f t="shared" si="2"/>
        <v>1344157.6319999998</v>
      </c>
      <c r="H11" s="234">
        <f t="shared" si="1"/>
        <v>1371040.7846399997</v>
      </c>
    </row>
    <row r="12" spans="1:24" ht="14.25" customHeight="1">
      <c r="A12" s="156">
        <v>8</v>
      </c>
      <c r="B12" s="156" t="s">
        <v>78</v>
      </c>
      <c r="C12" s="233" t="s">
        <v>128</v>
      </c>
      <c r="D12" s="663">
        <f>'[6]Bevételek 1m.'!Z173</f>
        <v>106900</v>
      </c>
      <c r="E12" s="663">
        <f t="shared" si="2"/>
        <v>128280</v>
      </c>
      <c r="F12" s="663">
        <f t="shared" si="2"/>
        <v>153936</v>
      </c>
      <c r="G12" s="663">
        <f t="shared" si="2"/>
        <v>184723.19999999998</v>
      </c>
      <c r="H12" s="234">
        <f t="shared" si="1"/>
        <v>188417.66399999999</v>
      </c>
    </row>
    <row r="13" spans="1:24" ht="14.25" customHeight="1">
      <c r="A13" s="156">
        <v>9</v>
      </c>
      <c r="B13" s="156" t="s">
        <v>79</v>
      </c>
      <c r="C13" s="233" t="s">
        <v>129</v>
      </c>
      <c r="D13" s="663">
        <v>0</v>
      </c>
      <c r="E13" s="663">
        <f t="shared" si="2"/>
        <v>0</v>
      </c>
      <c r="F13" s="663">
        <f t="shared" si="2"/>
        <v>0</v>
      </c>
      <c r="G13" s="663">
        <f t="shared" si="2"/>
        <v>0</v>
      </c>
      <c r="H13" s="234"/>
    </row>
    <row r="14" spans="1:24" ht="14.25" customHeight="1">
      <c r="A14" s="156">
        <v>10</v>
      </c>
      <c r="B14" s="156" t="s">
        <v>80</v>
      </c>
      <c r="C14" s="235" t="s">
        <v>130</v>
      </c>
      <c r="D14" s="663">
        <f>'[6]Bevételek 1m.'!Z177</f>
        <v>2243500</v>
      </c>
      <c r="E14" s="663">
        <f t="shared" si="2"/>
        <v>2692200</v>
      </c>
      <c r="F14" s="663">
        <f t="shared" si="2"/>
        <v>3230640</v>
      </c>
      <c r="G14" s="663">
        <f t="shared" si="2"/>
        <v>3876768</v>
      </c>
      <c r="H14" s="234"/>
    </row>
    <row r="15" spans="1:24" ht="14.25" customHeight="1">
      <c r="A15" s="156">
        <v>11</v>
      </c>
      <c r="B15" s="156" t="s">
        <v>81</v>
      </c>
      <c r="C15" s="233" t="s">
        <v>131</v>
      </c>
      <c r="D15" s="663">
        <f>'[3]Bevételek 1m'!X178</f>
        <v>4000</v>
      </c>
      <c r="E15" s="663">
        <f t="shared" si="2"/>
        <v>4800</v>
      </c>
      <c r="F15" s="663">
        <f t="shared" si="2"/>
        <v>5760</v>
      </c>
      <c r="G15" s="663">
        <f t="shared" si="2"/>
        <v>6912</v>
      </c>
      <c r="H15" s="234">
        <f t="shared" si="1"/>
        <v>7050.24</v>
      </c>
    </row>
    <row r="16" spans="1:24" ht="14.25" customHeight="1">
      <c r="A16" s="156">
        <v>12</v>
      </c>
      <c r="B16" s="156" t="s">
        <v>82</v>
      </c>
      <c r="C16" s="233" t="s">
        <v>132</v>
      </c>
      <c r="D16" s="663">
        <f>'[3]Bevételek 1m'!X183</f>
        <v>272713</v>
      </c>
      <c r="E16" s="663">
        <f t="shared" si="2"/>
        <v>327255.59999999998</v>
      </c>
      <c r="F16" s="663">
        <f t="shared" si="2"/>
        <v>392706.72</v>
      </c>
      <c r="G16" s="663">
        <f t="shared" si="2"/>
        <v>471248.06399999995</v>
      </c>
      <c r="H16" s="234"/>
    </row>
    <row r="17" spans="1:10" ht="14.25" customHeight="1">
      <c r="A17" s="156">
        <v>13</v>
      </c>
      <c r="B17" s="156" t="s">
        <v>83</v>
      </c>
      <c r="C17" s="233" t="s">
        <v>133</v>
      </c>
      <c r="D17" s="663">
        <f>'[3]Bevételek 1m'!X184</f>
        <v>79064</v>
      </c>
      <c r="E17" s="663">
        <f t="shared" si="2"/>
        <v>94876.800000000003</v>
      </c>
      <c r="F17" s="663">
        <f t="shared" si="2"/>
        <v>113852.16</v>
      </c>
      <c r="G17" s="663">
        <f t="shared" si="2"/>
        <v>136622.592</v>
      </c>
      <c r="H17" s="234">
        <f t="shared" si="1"/>
        <v>139355.04384</v>
      </c>
    </row>
    <row r="18" spans="1:10" ht="14.25" customHeight="1">
      <c r="A18" s="156">
        <v>14</v>
      </c>
      <c r="B18" s="156" t="s">
        <v>84</v>
      </c>
      <c r="C18" s="233" t="s">
        <v>134</v>
      </c>
      <c r="D18" s="663">
        <v>0</v>
      </c>
      <c r="E18" s="663">
        <f t="shared" si="2"/>
        <v>0</v>
      </c>
      <c r="F18" s="663">
        <f t="shared" si="2"/>
        <v>0</v>
      </c>
      <c r="G18" s="663">
        <f t="shared" si="2"/>
        <v>0</v>
      </c>
      <c r="H18" s="234"/>
    </row>
    <row r="19" spans="1:10" ht="14.25" customHeight="1">
      <c r="A19" s="156">
        <v>15</v>
      </c>
      <c r="B19" s="156" t="s">
        <v>85</v>
      </c>
      <c r="C19" s="233" t="s">
        <v>135</v>
      </c>
      <c r="D19" s="663">
        <f>'[3]Bevételek 1m'!X186</f>
        <v>820537</v>
      </c>
      <c r="E19" s="663">
        <f t="shared" si="2"/>
        <v>984644.39999999991</v>
      </c>
      <c r="F19" s="663">
        <f t="shared" si="2"/>
        <v>1181573.2799999998</v>
      </c>
      <c r="G19" s="663">
        <f t="shared" si="2"/>
        <v>1417887.9359999998</v>
      </c>
    </row>
    <row r="20" spans="1:10" ht="14.25" customHeight="1">
      <c r="A20" s="156">
        <v>16</v>
      </c>
      <c r="B20" s="156" t="s">
        <v>86</v>
      </c>
      <c r="C20" s="233" t="s">
        <v>606</v>
      </c>
      <c r="D20" s="663">
        <f>'[3]Bevételek 1m'!X187</f>
        <v>3624</v>
      </c>
      <c r="E20" s="663"/>
      <c r="F20" s="663"/>
      <c r="G20" s="663"/>
    </row>
    <row r="21" spans="1:10" ht="14.25" customHeight="1">
      <c r="A21" s="156">
        <v>17</v>
      </c>
      <c r="B21" s="156" t="s">
        <v>87</v>
      </c>
      <c r="C21" s="233" t="s">
        <v>136</v>
      </c>
      <c r="D21" s="663">
        <v>0</v>
      </c>
      <c r="E21" s="663">
        <f t="shared" ref="E21" si="3">D21*1.2</f>
        <v>0</v>
      </c>
      <c r="F21" s="663">
        <f t="shared" si="2"/>
        <v>0</v>
      </c>
      <c r="G21" s="663">
        <f t="shared" si="2"/>
        <v>0</v>
      </c>
    </row>
    <row r="22" spans="1:10" ht="14.25" customHeight="1">
      <c r="A22" s="156">
        <v>18</v>
      </c>
      <c r="B22" s="156" t="s">
        <v>88</v>
      </c>
      <c r="C22" s="309" t="s">
        <v>137</v>
      </c>
      <c r="D22" s="664">
        <f>SUM(D6:D21)</f>
        <v>8499908</v>
      </c>
      <c r="E22" s="664">
        <f>SUM(E6:E21)</f>
        <v>10176339.800000001</v>
      </c>
      <c r="F22" s="664">
        <f>SUM(F6:F21)</f>
        <v>12211607.76</v>
      </c>
      <c r="G22" s="664">
        <f>SUM(G6:G21)</f>
        <v>14653928.711999997</v>
      </c>
      <c r="H22" s="236">
        <f>SUM(H7:H21)</f>
        <v>5697603.5486399988</v>
      </c>
      <c r="I22" s="237">
        <f>SUM(I6:I21)</f>
        <v>0</v>
      </c>
    </row>
    <row r="23" spans="1:10">
      <c r="A23" s="156">
        <v>19</v>
      </c>
      <c r="B23" s="156" t="s">
        <v>89</v>
      </c>
      <c r="C23" s="230" t="s">
        <v>138</v>
      </c>
      <c r="D23" s="665"/>
      <c r="E23" s="666"/>
      <c r="F23" s="666"/>
      <c r="G23" s="666"/>
      <c r="H23" s="231" t="s">
        <v>139</v>
      </c>
    </row>
    <row r="24" spans="1:10">
      <c r="A24" s="156">
        <v>20</v>
      </c>
      <c r="B24" s="156" t="s">
        <v>90</v>
      </c>
      <c r="C24" s="229" t="s">
        <v>140</v>
      </c>
      <c r="D24" s="667">
        <f>'[6]Kiadások 2m.'!Y140</f>
        <v>7060573</v>
      </c>
      <c r="E24" s="663">
        <f t="shared" ref="E24:G26" si="4">D24*1.2</f>
        <v>8472687.5999999996</v>
      </c>
      <c r="F24" s="663">
        <f>E24*1.2</f>
        <v>10167225.119999999</v>
      </c>
      <c r="G24" s="663">
        <f>F24*1.2</f>
        <v>12200670.143999999</v>
      </c>
    </row>
    <row r="25" spans="1:10">
      <c r="A25" s="156">
        <v>21</v>
      </c>
      <c r="B25" s="156" t="s">
        <v>91</v>
      </c>
      <c r="C25" s="229" t="s">
        <v>141</v>
      </c>
      <c r="D25" s="667">
        <f>'[6]Kiadások 2m.'!Y158</f>
        <v>2577811</v>
      </c>
      <c r="E25" s="663">
        <f t="shared" si="4"/>
        <v>3093373.1999999997</v>
      </c>
      <c r="F25" s="663">
        <f t="shared" si="4"/>
        <v>3712047.8399999994</v>
      </c>
      <c r="G25" s="663">
        <f t="shared" si="4"/>
        <v>4454457.4079999989</v>
      </c>
      <c r="H25" s="234">
        <f>G25*1.02</f>
        <v>4543546.5561599992</v>
      </c>
    </row>
    <row r="26" spans="1:10">
      <c r="A26" s="156">
        <v>22</v>
      </c>
      <c r="B26" s="156" t="s">
        <v>92</v>
      </c>
      <c r="C26" s="229" t="s">
        <v>142</v>
      </c>
      <c r="D26" s="667">
        <f>'[6]Kiadások 2m.'!Y151</f>
        <v>1357559</v>
      </c>
      <c r="E26" s="663">
        <f t="shared" si="4"/>
        <v>1629070.8</v>
      </c>
      <c r="F26" s="663">
        <f t="shared" si="4"/>
        <v>1954884.96</v>
      </c>
      <c r="G26" s="663">
        <f t="shared" si="4"/>
        <v>2345861.952</v>
      </c>
      <c r="H26" s="234">
        <f t="shared" ref="H26" si="5">G26*1.02</f>
        <v>2392779.1910399999</v>
      </c>
    </row>
    <row r="27" spans="1:10">
      <c r="A27" s="156">
        <v>23</v>
      </c>
      <c r="B27" s="156" t="s">
        <v>95</v>
      </c>
      <c r="C27" s="310" t="s">
        <v>435</v>
      </c>
      <c r="D27" s="664">
        <f>SUM(D24:D26)-2496035</f>
        <v>8499908</v>
      </c>
      <c r="E27" s="664">
        <f>SUM(E24:E26)-3018792</f>
        <v>10176339.6</v>
      </c>
      <c r="F27" s="664">
        <f>SUM(F24:F26)-3622550</f>
        <v>12211607.919999998</v>
      </c>
      <c r="G27" s="664">
        <f>SUM(G24:G26)-4347061</f>
        <v>14653928.503999997</v>
      </c>
      <c r="H27" s="236">
        <f>SUM(H25:H26)</f>
        <v>6936325.7471999992</v>
      </c>
      <c r="I27" s="237">
        <f>SUM(I24:I26)</f>
        <v>0</v>
      </c>
    </row>
    <row r="28" spans="1:10" customFormat="1" ht="30.75" customHeight="1">
      <c r="A28" s="791" t="s">
        <v>672</v>
      </c>
      <c r="B28" s="791"/>
      <c r="C28" s="791"/>
      <c r="D28" s="791"/>
      <c r="E28" s="791"/>
      <c r="F28" s="791"/>
      <c r="G28" s="791"/>
    </row>
    <row r="29" spans="1:10" s="240" customFormat="1" ht="17.25">
      <c r="A29" s="239"/>
      <c r="D29" s="668">
        <f>D27-D22</f>
        <v>0</v>
      </c>
      <c r="E29" s="668">
        <f>E27-E22</f>
        <v>-0.20000000111758709</v>
      </c>
      <c r="F29" s="668">
        <f>F27-F22</f>
        <v>0.15999999828636646</v>
      </c>
      <c r="G29" s="668">
        <f>G27-G22</f>
        <v>-0.20800000056624413</v>
      </c>
    </row>
    <row r="30" spans="1:10">
      <c r="C30" s="217"/>
      <c r="D30" s="669"/>
      <c r="E30" s="669"/>
      <c r="F30" s="669"/>
      <c r="G30" s="669"/>
      <c r="H30" s="217"/>
      <c r="I30" s="217"/>
      <c r="J30" s="217"/>
    </row>
  </sheetData>
  <mergeCells count="4">
    <mergeCell ref="A1:G1"/>
    <mergeCell ref="A2:G2"/>
    <mergeCell ref="E4:G4"/>
    <mergeCell ref="A28:G28"/>
  </mergeCells>
  <pageMargins left="0.7" right="0.7" top="0.75" bottom="0.75" header="0.3" footer="0.3"/>
  <pageSetup paperSize="9" scale="72" orientation="portrait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T18"/>
  <sheetViews>
    <sheetView view="pageBreakPreview" zoomScaleNormal="100" zoomScaleSheetLayoutView="100" workbookViewId="0">
      <selection activeCell="C2" sqref="C2"/>
    </sheetView>
  </sheetViews>
  <sheetFormatPr defaultColWidth="9.140625" defaultRowHeight="12.75"/>
  <cols>
    <col min="1" max="1" width="9.140625" style="242"/>
    <col min="2" max="2" width="11.5703125" style="242" customWidth="1"/>
    <col min="3" max="3" width="59.42578125" style="242" customWidth="1"/>
    <col min="4" max="4" width="15" style="242" customWidth="1"/>
    <col min="5" max="16384" width="9.140625" style="242"/>
  </cols>
  <sheetData>
    <row r="1" spans="1:20" ht="28.5" customHeight="1">
      <c r="B1" s="799" t="s">
        <v>574</v>
      </c>
      <c r="C1" s="799"/>
      <c r="D1" s="799"/>
      <c r="E1" s="243"/>
    </row>
    <row r="2" spans="1:20" ht="12.75" customHeight="1">
      <c r="D2" s="244"/>
    </row>
    <row r="3" spans="1:20" ht="12.75" customHeight="1"/>
    <row r="4" spans="1:20" ht="12.75" customHeight="1">
      <c r="T4" s="301"/>
    </row>
    <row r="5" spans="1:20" ht="15.75">
      <c r="B5" s="800" t="s">
        <v>532</v>
      </c>
      <c r="C5" s="800"/>
      <c r="D5" s="800"/>
    </row>
    <row r="6" spans="1:20" ht="12.75" customHeight="1"/>
    <row r="7" spans="1:20" ht="12.75" customHeight="1">
      <c r="D7" s="242" t="s">
        <v>287</v>
      </c>
    </row>
    <row r="8" spans="1:20" ht="12.75" customHeight="1"/>
    <row r="9" spans="1:20" ht="12.75" customHeight="1">
      <c r="A9" s="245"/>
      <c r="B9" s="246" t="s">
        <v>414</v>
      </c>
      <c r="C9" s="246" t="s">
        <v>415</v>
      </c>
      <c r="D9" s="246" t="s">
        <v>416</v>
      </c>
    </row>
    <row r="10" spans="1:20" ht="18.75">
      <c r="A10" s="247">
        <v>1</v>
      </c>
      <c r="B10" s="248" t="s">
        <v>117</v>
      </c>
      <c r="C10" s="249" t="s">
        <v>288</v>
      </c>
      <c r="D10" s="250">
        <v>2026</v>
      </c>
    </row>
    <row r="11" spans="1:20" ht="18.75">
      <c r="A11" s="247">
        <v>2</v>
      </c>
      <c r="B11" s="248">
        <v>1</v>
      </c>
      <c r="C11" s="249" t="s">
        <v>531</v>
      </c>
      <c r="D11" s="251">
        <v>421829</v>
      </c>
    </row>
    <row r="12" spans="1:20" ht="12.75" customHeight="1"/>
    <row r="13" spans="1:20" ht="12.75" customHeight="1"/>
    <row r="14" spans="1:20" ht="12.75" customHeight="1"/>
    <row r="15" spans="1:20" ht="12.75" customHeight="1"/>
    <row r="16" spans="1:20" ht="12.75" customHeight="1"/>
    <row r="17" ht="12.75" customHeight="1"/>
    <row r="18" ht="12.75" customHeight="1"/>
  </sheetData>
  <mergeCells count="2">
    <mergeCell ref="B1:D1"/>
    <mergeCell ref="B5:D5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8" fitToHeight="0" orientation="portrait" r:id="rId1"/>
  <headerFooter>
    <oddFooter>&amp;P. oldal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U29"/>
  <sheetViews>
    <sheetView view="pageBreakPreview" zoomScaleNormal="100" zoomScaleSheetLayoutView="100" workbookViewId="0">
      <selection activeCell="C2" sqref="C2"/>
    </sheetView>
  </sheetViews>
  <sheetFormatPr defaultColWidth="8.5703125" defaultRowHeight="15"/>
  <cols>
    <col min="2" max="2" width="14.42578125" style="94" customWidth="1"/>
    <col min="3" max="3" width="12.42578125" style="94" customWidth="1"/>
    <col min="4" max="4" width="10.140625" style="94" customWidth="1"/>
    <col min="5" max="5" width="10" style="94" customWidth="1"/>
    <col min="6" max="6" width="9.85546875" style="94" customWidth="1"/>
    <col min="7" max="7" width="10.5703125" style="94" customWidth="1"/>
    <col min="8" max="8" width="9.5703125" style="94" customWidth="1"/>
    <col min="9" max="9" width="9.85546875" style="94" customWidth="1"/>
    <col min="10" max="10" width="10" style="94" customWidth="1"/>
    <col min="11" max="11" width="9.85546875" style="94" customWidth="1"/>
    <col min="12" max="13" width="9.5703125" style="94" customWidth="1"/>
    <col min="14" max="14" width="11.42578125" style="94" customWidth="1"/>
    <col min="15" max="15" width="8.5703125" customWidth="1"/>
    <col min="16" max="16" width="12.42578125" customWidth="1"/>
    <col min="17" max="17" width="10.42578125" bestFit="1" customWidth="1"/>
    <col min="18" max="18" width="14.140625" customWidth="1"/>
    <col min="19" max="245" width="9.140625" customWidth="1"/>
    <col min="246" max="246" width="17.5703125" customWidth="1"/>
    <col min="247" max="248" width="9.140625" customWidth="1"/>
    <col min="249" max="249" width="6.42578125" customWidth="1"/>
    <col min="250" max="250" width="7.42578125" customWidth="1"/>
    <col min="251" max="252" width="8.5703125" customWidth="1"/>
    <col min="253" max="253" width="9.140625" customWidth="1"/>
    <col min="254" max="254" width="8.5703125" customWidth="1"/>
    <col min="255" max="255" width="10" customWidth="1"/>
  </cols>
  <sheetData>
    <row r="1" spans="1:20" ht="14.45" customHeight="1">
      <c r="A1" s="807" t="s">
        <v>575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</row>
    <row r="2" spans="1:20">
      <c r="L2" s="808"/>
      <c r="M2" s="808"/>
      <c r="N2" s="808"/>
    </row>
    <row r="3" spans="1:20">
      <c r="B3" s="804" t="s">
        <v>289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</row>
    <row r="4" spans="1:20">
      <c r="T4" s="4"/>
    </row>
    <row r="5" spans="1:20">
      <c r="L5" s="801" t="s">
        <v>56</v>
      </c>
      <c r="M5" s="801"/>
    </row>
    <row r="6" spans="1:20">
      <c r="A6" s="3"/>
      <c r="B6" s="126" t="s">
        <v>414</v>
      </c>
      <c r="C6" s="126" t="s">
        <v>415</v>
      </c>
      <c r="D6" s="126" t="s">
        <v>416</v>
      </c>
      <c r="E6" s="126" t="s">
        <v>417</v>
      </c>
      <c r="F6" s="126" t="s">
        <v>418</v>
      </c>
      <c r="G6" s="126" t="s">
        <v>419</v>
      </c>
      <c r="H6" s="126" t="s">
        <v>424</v>
      </c>
      <c r="I6" s="126" t="s">
        <v>425</v>
      </c>
      <c r="J6" s="126" t="s">
        <v>426</v>
      </c>
      <c r="K6" s="126" t="s">
        <v>427</v>
      </c>
      <c r="L6" s="126" t="s">
        <v>428</v>
      </c>
      <c r="M6" s="126" t="s">
        <v>429</v>
      </c>
      <c r="N6" s="126" t="s">
        <v>430</v>
      </c>
    </row>
    <row r="7" spans="1:20" s="4" customFormat="1">
      <c r="A7" s="810">
        <v>1</v>
      </c>
      <c r="B7" s="809" t="s">
        <v>290</v>
      </c>
      <c r="C7" s="803" t="s">
        <v>291</v>
      </c>
      <c r="D7" s="803" t="s">
        <v>528</v>
      </c>
      <c r="E7" s="803" t="s">
        <v>529</v>
      </c>
      <c r="F7" s="803"/>
      <c r="G7" s="803"/>
      <c r="H7" s="803"/>
      <c r="I7" s="803"/>
      <c r="J7" s="803"/>
      <c r="K7" s="803"/>
      <c r="L7" s="803"/>
      <c r="M7" s="803" t="s">
        <v>530</v>
      </c>
      <c r="N7" s="803"/>
    </row>
    <row r="8" spans="1:20">
      <c r="A8" s="810"/>
      <c r="B8" s="809"/>
      <c r="C8" s="803"/>
      <c r="D8" s="803"/>
      <c r="E8" s="803" t="s">
        <v>292</v>
      </c>
      <c r="F8" s="803"/>
      <c r="G8" s="802" t="s">
        <v>293</v>
      </c>
      <c r="H8" s="802"/>
      <c r="I8" s="803" t="s">
        <v>294</v>
      </c>
      <c r="J8" s="803"/>
      <c r="K8" s="803" t="s">
        <v>295</v>
      </c>
      <c r="L8" s="803"/>
      <c r="M8" s="803"/>
      <c r="N8" s="803"/>
    </row>
    <row r="9" spans="1:20" ht="26.25">
      <c r="A9" s="810"/>
      <c r="B9" s="809"/>
      <c r="C9" s="803"/>
      <c r="D9" s="803"/>
      <c r="E9" s="96" t="s">
        <v>296</v>
      </c>
      <c r="F9" s="97" t="s">
        <v>297</v>
      </c>
      <c r="G9" s="96" t="s">
        <v>296</v>
      </c>
      <c r="H9" s="97" t="s">
        <v>298</v>
      </c>
      <c r="I9" s="96" t="s">
        <v>296</v>
      </c>
      <c r="J9" s="97" t="s">
        <v>298</v>
      </c>
      <c r="K9" s="96" t="s">
        <v>296</v>
      </c>
      <c r="L9" s="97" t="s">
        <v>298</v>
      </c>
      <c r="M9" s="96" t="s">
        <v>296</v>
      </c>
      <c r="N9" s="96" t="s">
        <v>299</v>
      </c>
    </row>
    <row r="10" spans="1:20" ht="26.25" hidden="1">
      <c r="A10" s="24"/>
      <c r="B10" s="125" t="s">
        <v>300</v>
      </c>
      <c r="C10" s="98"/>
      <c r="D10" s="98">
        <v>0</v>
      </c>
      <c r="E10" s="98"/>
      <c r="F10" s="98"/>
      <c r="G10" s="98"/>
      <c r="H10" s="98"/>
      <c r="I10" s="98"/>
      <c r="J10" s="98"/>
      <c r="K10" s="98"/>
      <c r="L10" s="98"/>
      <c r="M10" s="98">
        <f t="shared" ref="M10:N14" si="0">E10+G10+I10+K10</f>
        <v>0</v>
      </c>
      <c r="N10" s="98">
        <f t="shared" si="0"/>
        <v>0</v>
      </c>
    </row>
    <row r="11" spans="1:20" ht="39" hidden="1">
      <c r="A11" s="24"/>
      <c r="B11" s="125" t="s">
        <v>301</v>
      </c>
      <c r="C11" s="98"/>
      <c r="D11" s="98">
        <v>0</v>
      </c>
      <c r="E11" s="98"/>
      <c r="F11" s="98"/>
      <c r="G11" s="98"/>
      <c r="H11" s="98"/>
      <c r="I11" s="98"/>
      <c r="J11" s="98"/>
      <c r="K11" s="98"/>
      <c r="L11" s="98"/>
      <c r="M11" s="98">
        <f t="shared" si="0"/>
        <v>0</v>
      </c>
      <c r="N11" s="98">
        <f t="shared" si="0"/>
        <v>0</v>
      </c>
    </row>
    <row r="12" spans="1:20">
      <c r="A12" s="24">
        <v>2</v>
      </c>
      <c r="B12" s="145"/>
      <c r="C12" s="146"/>
      <c r="D12" s="146">
        <v>0</v>
      </c>
      <c r="E12" s="98">
        <v>0</v>
      </c>
      <c r="F12" s="98"/>
      <c r="G12" s="98">
        <v>0</v>
      </c>
      <c r="H12" s="98">
        <v>0</v>
      </c>
      <c r="I12" s="98">
        <v>0</v>
      </c>
      <c r="J12" s="98"/>
      <c r="K12" s="98"/>
      <c r="L12" s="98"/>
      <c r="M12" s="98">
        <f t="shared" si="0"/>
        <v>0</v>
      </c>
      <c r="N12" s="98">
        <f t="shared" si="0"/>
        <v>0</v>
      </c>
    </row>
    <row r="13" spans="1:20" hidden="1">
      <c r="A13" s="24"/>
      <c r="B13" s="125" t="s">
        <v>302</v>
      </c>
      <c r="C13" s="98"/>
      <c r="D13" s="98">
        <v>0</v>
      </c>
      <c r="E13" s="98">
        <v>0</v>
      </c>
      <c r="F13" s="98">
        <v>0</v>
      </c>
      <c r="G13" s="98">
        <v>0</v>
      </c>
      <c r="H13" s="98"/>
      <c r="I13" s="98">
        <v>0</v>
      </c>
      <c r="J13" s="98"/>
      <c r="K13" s="98">
        <v>0</v>
      </c>
      <c r="L13" s="98"/>
      <c r="M13" s="98">
        <v>0</v>
      </c>
      <c r="N13" s="98">
        <f>F13+H13+J13+L13</f>
        <v>0</v>
      </c>
    </row>
    <row r="14" spans="1:20" hidden="1">
      <c r="A14" s="24"/>
      <c r="B14" s="125" t="s">
        <v>303</v>
      </c>
      <c r="C14" s="98"/>
      <c r="D14" s="98">
        <v>0</v>
      </c>
      <c r="E14" s="98"/>
      <c r="F14" s="98"/>
      <c r="G14" s="98"/>
      <c r="H14" s="98"/>
      <c r="I14" s="98"/>
      <c r="J14" s="98"/>
      <c r="K14" s="98"/>
      <c r="L14" s="98"/>
      <c r="M14" s="98">
        <f t="shared" si="0"/>
        <v>0</v>
      </c>
      <c r="N14" s="98">
        <f t="shared" si="0"/>
        <v>0</v>
      </c>
    </row>
    <row r="15" spans="1:20">
      <c r="A15" s="24">
        <v>3</v>
      </c>
      <c r="B15" s="125" t="s">
        <v>19</v>
      </c>
      <c r="C15" s="99">
        <f>SUM(C10:C14)</f>
        <v>0</v>
      </c>
      <c r="D15" s="99">
        <f t="shared" ref="D15:N15" si="1">SUM(D10:D14)</f>
        <v>0</v>
      </c>
      <c r="E15" s="99">
        <f t="shared" si="1"/>
        <v>0</v>
      </c>
      <c r="F15" s="99">
        <f t="shared" si="1"/>
        <v>0</v>
      </c>
      <c r="G15" s="99">
        <f t="shared" si="1"/>
        <v>0</v>
      </c>
      <c r="H15" s="99">
        <f t="shared" si="1"/>
        <v>0</v>
      </c>
      <c r="I15" s="99">
        <f t="shared" si="1"/>
        <v>0</v>
      </c>
      <c r="J15" s="99">
        <f t="shared" si="1"/>
        <v>0</v>
      </c>
      <c r="K15" s="99">
        <f t="shared" si="1"/>
        <v>0</v>
      </c>
      <c r="L15" s="99">
        <f t="shared" si="1"/>
        <v>0</v>
      </c>
      <c r="M15" s="99">
        <f t="shared" si="1"/>
        <v>0</v>
      </c>
      <c r="N15" s="99">
        <f t="shared" si="1"/>
        <v>0</v>
      </c>
    </row>
    <row r="16" spans="1:20">
      <c r="B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2:21">
      <c r="B17" s="95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2:21" ht="15" customHeight="1">
      <c r="B18" s="103"/>
      <c r="C18" s="103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2:21"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801"/>
      <c r="P19" s="801"/>
      <c r="U19" s="104"/>
    </row>
    <row r="20" spans="2:21" s="94" customFormat="1" ht="12.75"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  <c r="M20" s="804"/>
      <c r="N20" s="804"/>
      <c r="O20" s="105"/>
      <c r="P20" s="105"/>
      <c r="Q20" s="105"/>
      <c r="R20" s="104"/>
      <c r="S20" s="104"/>
      <c r="T20" s="104"/>
      <c r="U20" s="104"/>
    </row>
    <row r="21" spans="2:21" s="94" customFormat="1" ht="12.75" hidden="1">
      <c r="O21" s="102"/>
      <c r="P21" s="102"/>
      <c r="Q21" s="102"/>
      <c r="U21" s="102"/>
    </row>
    <row r="22" spans="2:21" s="94" customFormat="1" ht="14.25" hidden="1">
      <c r="B22" s="805"/>
      <c r="C22" s="805"/>
      <c r="D22" s="805"/>
      <c r="E22" s="805"/>
      <c r="F22" s="805"/>
      <c r="G22" s="805"/>
      <c r="H22" s="805"/>
      <c r="I22" s="805"/>
      <c r="J22" s="805"/>
      <c r="K22" s="806"/>
      <c r="L22" s="806"/>
      <c r="M22" s="806"/>
      <c r="O22" s="102"/>
      <c r="P22" s="102"/>
      <c r="Q22" s="102"/>
      <c r="U22" s="102"/>
    </row>
    <row r="23" spans="2:21" s="94" customFormat="1" ht="12.75" hidden="1">
      <c r="O23" s="102"/>
      <c r="P23" s="102"/>
      <c r="Q23" s="102"/>
      <c r="U23" s="102"/>
    </row>
    <row r="24" spans="2:21" s="94" customFormat="1" ht="12.75" customHeight="1">
      <c r="O24" s="102"/>
      <c r="P24" s="102"/>
      <c r="Q24" s="102"/>
      <c r="U24" s="102"/>
    </row>
    <row r="25" spans="2:21">
      <c r="O25" s="101"/>
      <c r="P25" s="101"/>
      <c r="Q25" s="101"/>
      <c r="U25" s="102"/>
    </row>
    <row r="26" spans="2:21">
      <c r="O26" s="101"/>
      <c r="P26" s="101"/>
      <c r="Q26" s="101"/>
      <c r="U26" s="102"/>
    </row>
    <row r="27" spans="2:21">
      <c r="O27" s="102"/>
      <c r="P27" s="102"/>
      <c r="Q27" s="102"/>
      <c r="U27" s="102"/>
    </row>
    <row r="29" spans="2:21">
      <c r="O29" s="801"/>
      <c r="P29" s="801"/>
    </row>
  </sheetData>
  <mergeCells count="18">
    <mergeCell ref="A1:N1"/>
    <mergeCell ref="L2:N2"/>
    <mergeCell ref="B3:N3"/>
    <mergeCell ref="L5:M5"/>
    <mergeCell ref="B7:B9"/>
    <mergeCell ref="C7:C9"/>
    <mergeCell ref="D7:D9"/>
    <mergeCell ref="E7:L7"/>
    <mergeCell ref="M7:N8"/>
    <mergeCell ref="E8:F8"/>
    <mergeCell ref="A7:A9"/>
    <mergeCell ref="O29:P29"/>
    <mergeCell ref="G8:H8"/>
    <mergeCell ref="I8:J8"/>
    <mergeCell ref="K8:L8"/>
    <mergeCell ref="O19:P19"/>
    <mergeCell ref="B20:N20"/>
    <mergeCell ref="B22:M2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98" orientation="landscape" r:id="rId1"/>
  <headerFooter>
    <oddFooter>&amp;P. oldal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T29"/>
  <sheetViews>
    <sheetView view="pageBreakPreview" zoomScale="90" zoomScaleNormal="100" zoomScaleSheetLayoutView="90" workbookViewId="0">
      <selection activeCell="C2" sqref="C2"/>
    </sheetView>
  </sheetViews>
  <sheetFormatPr defaultColWidth="9.140625" defaultRowHeight="15"/>
  <cols>
    <col min="1" max="1" width="4.85546875" style="292" customWidth="1"/>
    <col min="2" max="2" width="33.140625" style="292" customWidth="1"/>
    <col min="3" max="4" width="8.140625" style="292" customWidth="1"/>
    <col min="5" max="5" width="8.42578125" style="292" customWidth="1"/>
    <col min="6" max="6" width="8.140625" style="292" customWidth="1"/>
    <col min="7" max="7" width="8.42578125" style="292" customWidth="1"/>
    <col min="8" max="8" width="9" style="292" customWidth="1"/>
    <col min="9" max="9" width="10" style="292" customWidth="1"/>
    <col min="10" max="10" width="8.42578125" style="292" customWidth="1"/>
    <col min="11" max="11" width="9.42578125" style="292" customWidth="1"/>
    <col min="12" max="12" width="8.42578125" style="292" customWidth="1"/>
    <col min="13" max="13" width="8.140625" style="292" customWidth="1"/>
    <col min="14" max="14" width="8.42578125" style="292" customWidth="1"/>
    <col min="15" max="15" width="10.5703125" style="292" customWidth="1"/>
    <col min="16" max="16" width="10.42578125" customWidth="1"/>
    <col min="17" max="17" width="9.5703125" bestFit="1" customWidth="1"/>
  </cols>
  <sheetData>
    <row r="1" spans="1:20">
      <c r="A1" s="811" t="s">
        <v>576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1:20">
      <c r="N2" s="304"/>
      <c r="O2" s="304"/>
    </row>
    <row r="3" spans="1:20">
      <c r="O3" s="304"/>
    </row>
    <row r="4" spans="1:20">
      <c r="A4" s="813" t="s">
        <v>527</v>
      </c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T4" s="4"/>
    </row>
    <row r="5" spans="1:20">
      <c r="O5" s="304"/>
    </row>
    <row r="6" spans="1:20" ht="15.75" thickBot="1">
      <c r="N6" s="814" t="s">
        <v>56</v>
      </c>
      <c r="O6" s="814"/>
    </row>
    <row r="7" spans="1:20" ht="15.75" thickBot="1">
      <c r="B7" s="316" t="s">
        <v>414</v>
      </c>
      <c r="C7" s="317" t="s">
        <v>415</v>
      </c>
      <c r="D7" s="317" t="s">
        <v>416</v>
      </c>
      <c r="E7" s="317" t="s">
        <v>417</v>
      </c>
      <c r="F7" s="317" t="s">
        <v>418</v>
      </c>
      <c r="G7" s="317" t="s">
        <v>419</v>
      </c>
      <c r="H7" s="317" t="s">
        <v>424</v>
      </c>
      <c r="I7" s="317" t="s">
        <v>425</v>
      </c>
      <c r="J7" s="317" t="s">
        <v>426</v>
      </c>
      <c r="K7" s="317" t="s">
        <v>427</v>
      </c>
      <c r="L7" s="317" t="s">
        <v>428</v>
      </c>
      <c r="M7" s="317" t="s">
        <v>429</v>
      </c>
      <c r="N7" s="317" t="s">
        <v>430</v>
      </c>
      <c r="O7" s="318" t="s">
        <v>483</v>
      </c>
    </row>
    <row r="8" spans="1:20" ht="15.75" thickBot="1">
      <c r="A8" s="312" t="s">
        <v>304</v>
      </c>
      <c r="B8" s="322" t="s">
        <v>55</v>
      </c>
      <c r="C8" s="323" t="s">
        <v>305</v>
      </c>
      <c r="D8" s="323" t="s">
        <v>306</v>
      </c>
      <c r="E8" s="323" t="s">
        <v>307</v>
      </c>
      <c r="F8" s="323" t="s">
        <v>308</v>
      </c>
      <c r="G8" s="323" t="s">
        <v>309</v>
      </c>
      <c r="H8" s="323" t="s">
        <v>310</v>
      </c>
      <c r="I8" s="323" t="s">
        <v>311</v>
      </c>
      <c r="J8" s="323" t="s">
        <v>312</v>
      </c>
      <c r="K8" s="323" t="s">
        <v>313</v>
      </c>
      <c r="L8" s="323" t="s">
        <v>314</v>
      </c>
      <c r="M8" s="323" t="s">
        <v>315</v>
      </c>
      <c r="N8" s="324" t="s">
        <v>316</v>
      </c>
      <c r="O8" s="325" t="s">
        <v>19</v>
      </c>
      <c r="Q8" s="292" t="s">
        <v>420</v>
      </c>
    </row>
    <row r="9" spans="1:20">
      <c r="A9" s="313" t="s">
        <v>317</v>
      </c>
      <c r="B9" s="319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4"/>
      <c r="O9" s="555"/>
    </row>
    <row r="10" spans="1:20">
      <c r="A10" s="314">
        <v>1</v>
      </c>
      <c r="B10" s="305" t="s">
        <v>124</v>
      </c>
      <c r="C10" s="575"/>
      <c r="D10" s="575"/>
      <c r="E10" s="575">
        <v>200000</v>
      </c>
      <c r="F10" s="575"/>
      <c r="G10" s="575"/>
      <c r="H10" s="575"/>
      <c r="I10" s="575"/>
      <c r="J10" s="575">
        <v>5000</v>
      </c>
      <c r="K10" s="575">
        <v>200000</v>
      </c>
      <c r="L10" s="575"/>
      <c r="M10" s="575"/>
      <c r="N10" s="576"/>
      <c r="O10" s="577">
        <f>SUM(C10:N10)</f>
        <v>405000</v>
      </c>
      <c r="P10" s="264" t="e">
        <f>#REF!</f>
        <v>#REF!</v>
      </c>
      <c r="Q10" s="41" t="e">
        <f>O10-#REF!</f>
        <v>#REF!</v>
      </c>
    </row>
    <row r="11" spans="1:20">
      <c r="A11" s="314">
        <v>2</v>
      </c>
      <c r="B11" s="305" t="s">
        <v>164</v>
      </c>
      <c r="C11" s="575"/>
      <c r="D11" s="575"/>
      <c r="E11" s="575">
        <v>1020000</v>
      </c>
      <c r="F11" s="575"/>
      <c r="G11" s="575"/>
      <c r="H11" s="575"/>
      <c r="I11" s="575"/>
      <c r="J11" s="575"/>
      <c r="K11" s="575">
        <v>1015000</v>
      </c>
      <c r="L11" s="575"/>
      <c r="M11" s="575"/>
      <c r="N11" s="576"/>
      <c r="O11" s="577">
        <f t="shared" ref="O11:O15" si="0">SUM(C11:N11)</f>
        <v>2035000</v>
      </c>
      <c r="P11" s="264" t="e">
        <f>#REF!</f>
        <v>#REF!</v>
      </c>
      <c r="Q11" s="41" t="e">
        <f>O11-#REF!</f>
        <v>#REF!</v>
      </c>
    </row>
    <row r="12" spans="1:20">
      <c r="A12" s="314">
        <v>3</v>
      </c>
      <c r="B12" s="305" t="s">
        <v>515</v>
      </c>
      <c r="C12" s="575">
        <v>368254</v>
      </c>
      <c r="D12" s="575">
        <v>265304</v>
      </c>
      <c r="E12" s="575">
        <v>225304</v>
      </c>
      <c r="F12" s="575">
        <v>170304</v>
      </c>
      <c r="G12" s="575">
        <v>165704</v>
      </c>
      <c r="H12" s="575">
        <v>165387</v>
      </c>
      <c r="I12" s="575">
        <v>165304</v>
      </c>
      <c r="J12" s="575">
        <v>165304</v>
      </c>
      <c r="K12" s="575">
        <v>165304</v>
      </c>
      <c r="L12" s="575">
        <v>165304</v>
      </c>
      <c r="M12" s="575">
        <v>165304</v>
      </c>
      <c r="N12" s="575">
        <v>165303</v>
      </c>
      <c r="O12" s="577">
        <f t="shared" si="0"/>
        <v>2352080</v>
      </c>
      <c r="P12" s="264" t="e">
        <f>#REF!</f>
        <v>#REF!</v>
      </c>
      <c r="Q12" s="41" t="e">
        <f>O12-#REF!</f>
        <v>#REF!</v>
      </c>
    </row>
    <row r="13" spans="1:20">
      <c r="A13" s="314">
        <v>4</v>
      </c>
      <c r="B13" s="305" t="s">
        <v>127</v>
      </c>
      <c r="C13" s="575">
        <v>60072</v>
      </c>
      <c r="D13" s="575">
        <v>60072</v>
      </c>
      <c r="E13" s="575">
        <v>60072</v>
      </c>
      <c r="F13" s="575">
        <v>60072</v>
      </c>
      <c r="G13" s="575">
        <v>60072</v>
      </c>
      <c r="H13" s="575">
        <v>60072</v>
      </c>
      <c r="I13" s="575">
        <v>60072</v>
      </c>
      <c r="J13" s="575">
        <v>60072</v>
      </c>
      <c r="K13" s="575">
        <v>60072</v>
      </c>
      <c r="L13" s="575">
        <v>60072</v>
      </c>
      <c r="M13" s="575">
        <v>60072</v>
      </c>
      <c r="N13" s="575">
        <v>67799</v>
      </c>
      <c r="O13" s="577">
        <f>SUM(C13:N13)</f>
        <v>728591</v>
      </c>
      <c r="P13" s="264" t="e">
        <f>#REF!</f>
        <v>#REF!</v>
      </c>
      <c r="Q13" s="41" t="e">
        <f>O13-#REF!</f>
        <v>#REF!</v>
      </c>
    </row>
    <row r="14" spans="1:20">
      <c r="A14" s="314">
        <v>5</v>
      </c>
      <c r="B14" s="305" t="s">
        <v>128</v>
      </c>
      <c r="C14" s="292">
        <v>33333</v>
      </c>
      <c r="D14" s="292">
        <v>33333</v>
      </c>
      <c r="E14" s="292">
        <v>33334</v>
      </c>
      <c r="F14" s="292">
        <v>0</v>
      </c>
      <c r="G14" s="292">
        <v>0</v>
      </c>
      <c r="H14" s="292">
        <v>0</v>
      </c>
      <c r="I14" s="292">
        <v>0</v>
      </c>
      <c r="J14" s="292">
        <v>0</v>
      </c>
      <c r="K14" s="292">
        <v>0</v>
      </c>
      <c r="L14" s="292">
        <v>0</v>
      </c>
      <c r="M14" s="292">
        <v>0</v>
      </c>
      <c r="N14" s="292">
        <v>0</v>
      </c>
      <c r="O14" s="577">
        <f>SUM(C14:N14)</f>
        <v>100000</v>
      </c>
      <c r="P14" s="264" t="e">
        <f>#REF!</f>
        <v>#REF!</v>
      </c>
      <c r="Q14" s="41" t="e">
        <f>O14-#REF!</f>
        <v>#REF!</v>
      </c>
    </row>
    <row r="15" spans="1:20">
      <c r="A15" s="314">
        <v>6</v>
      </c>
      <c r="B15" s="305" t="s">
        <v>131</v>
      </c>
      <c r="C15" s="575">
        <v>100</v>
      </c>
      <c r="D15" s="575">
        <v>100</v>
      </c>
      <c r="E15" s="575">
        <v>100</v>
      </c>
      <c r="F15" s="575">
        <v>200</v>
      </c>
      <c r="G15" s="575">
        <v>200</v>
      </c>
      <c r="H15" s="575">
        <v>300</v>
      </c>
      <c r="I15" s="575">
        <v>500</v>
      </c>
      <c r="J15" s="575">
        <v>500</v>
      </c>
      <c r="K15" s="575">
        <v>500</v>
      </c>
      <c r="L15" s="575">
        <v>500</v>
      </c>
      <c r="M15" s="575">
        <v>500</v>
      </c>
      <c r="N15" s="575">
        <v>500</v>
      </c>
      <c r="O15" s="577">
        <f t="shared" si="0"/>
        <v>4000</v>
      </c>
      <c r="P15" s="264" t="e">
        <f>#REF!</f>
        <v>#REF!</v>
      </c>
      <c r="Q15" s="41" t="e">
        <f>O15-#REF!</f>
        <v>#REF!</v>
      </c>
    </row>
    <row r="16" spans="1:20">
      <c r="A16" s="314">
        <v>7</v>
      </c>
      <c r="B16" s="305" t="s">
        <v>458</v>
      </c>
      <c r="C16" s="575">
        <v>0</v>
      </c>
      <c r="D16" s="575">
        <v>0</v>
      </c>
      <c r="E16" s="575">
        <v>9133</v>
      </c>
      <c r="F16" s="575">
        <v>69000</v>
      </c>
      <c r="G16" s="575">
        <v>69000</v>
      </c>
      <c r="H16" s="575">
        <v>69000</v>
      </c>
      <c r="I16" s="575">
        <v>69000</v>
      </c>
      <c r="J16" s="575">
        <v>369000</v>
      </c>
      <c r="K16" s="575">
        <v>69000</v>
      </c>
      <c r="L16" s="575">
        <v>69000</v>
      </c>
      <c r="M16" s="575">
        <v>69000</v>
      </c>
      <c r="N16" s="575">
        <v>191839</v>
      </c>
      <c r="O16" s="577">
        <f>SUM(C16:N16)</f>
        <v>1052972</v>
      </c>
      <c r="P16" s="264" t="e">
        <f>#REF!+#REF!+#REF!+#REF!+#REF!</f>
        <v>#REF!</v>
      </c>
      <c r="Q16" s="41" t="e">
        <f>O16-#REF!</f>
        <v>#REF!</v>
      </c>
    </row>
    <row r="17" spans="1:17" s="306" customFormat="1">
      <c r="A17" s="314">
        <v>8</v>
      </c>
      <c r="B17" s="320" t="s">
        <v>480</v>
      </c>
      <c r="C17" s="578">
        <f>SUM(C10:C16)</f>
        <v>461759</v>
      </c>
      <c r="D17" s="578">
        <f t="shared" ref="D17:N17" si="1">SUM(D10:D16)</f>
        <v>358809</v>
      </c>
      <c r="E17" s="578">
        <f t="shared" si="1"/>
        <v>1547943</v>
      </c>
      <c r="F17" s="578">
        <f t="shared" si="1"/>
        <v>299576</v>
      </c>
      <c r="G17" s="578">
        <f t="shared" si="1"/>
        <v>294976</v>
      </c>
      <c r="H17" s="578">
        <f t="shared" si="1"/>
        <v>294759</v>
      </c>
      <c r="I17" s="578">
        <f t="shared" si="1"/>
        <v>294876</v>
      </c>
      <c r="J17" s="578">
        <f t="shared" si="1"/>
        <v>599876</v>
      </c>
      <c r="K17" s="578">
        <f t="shared" si="1"/>
        <v>1509876</v>
      </c>
      <c r="L17" s="578">
        <f t="shared" si="1"/>
        <v>294876</v>
      </c>
      <c r="M17" s="578">
        <f t="shared" si="1"/>
        <v>294876</v>
      </c>
      <c r="N17" s="578">
        <f t="shared" si="1"/>
        <v>425441</v>
      </c>
      <c r="O17" s="579">
        <f>SUM(C17:N17)</f>
        <v>6677643</v>
      </c>
      <c r="P17" s="574" t="e">
        <f>SUM(P10:P16)</f>
        <v>#REF!</v>
      </c>
    </row>
    <row r="18" spans="1:17" s="306" customFormat="1">
      <c r="A18" s="314">
        <v>9</v>
      </c>
      <c r="B18" s="320" t="s">
        <v>318</v>
      </c>
      <c r="C18" s="578">
        <v>0</v>
      </c>
      <c r="D18" s="578">
        <v>0</v>
      </c>
      <c r="E18" s="578">
        <v>0</v>
      </c>
      <c r="F18" s="578">
        <v>0</v>
      </c>
      <c r="G18" s="578">
        <v>0</v>
      </c>
      <c r="H18" s="578">
        <v>0</v>
      </c>
      <c r="I18" s="578">
        <v>0</v>
      </c>
      <c r="J18" s="578">
        <v>0</v>
      </c>
      <c r="K18" s="578">
        <v>0</v>
      </c>
      <c r="L18" s="578">
        <v>0</v>
      </c>
      <c r="M18" s="578">
        <v>0</v>
      </c>
      <c r="N18" s="578">
        <v>0</v>
      </c>
      <c r="O18" s="580">
        <v>0</v>
      </c>
      <c r="P18" s="574"/>
    </row>
    <row r="19" spans="1:17">
      <c r="A19" s="314">
        <v>10</v>
      </c>
      <c r="B19" s="305" t="s">
        <v>135</v>
      </c>
      <c r="C19" s="575">
        <v>1945960</v>
      </c>
      <c r="D19" s="575">
        <f>C25</f>
        <v>1724029</v>
      </c>
      <c r="E19" s="575">
        <f t="shared" ref="E19:N19" si="2">D25</f>
        <v>1480924</v>
      </c>
      <c r="F19" s="575">
        <f t="shared" si="2"/>
        <v>2436953</v>
      </c>
      <c r="G19" s="575">
        <f t="shared" si="2"/>
        <v>2134615</v>
      </c>
      <c r="H19" s="575">
        <f t="shared" si="2"/>
        <v>1827677</v>
      </c>
      <c r="I19" s="575">
        <f t="shared" si="2"/>
        <v>1520522</v>
      </c>
      <c r="J19" s="575">
        <f t="shared" si="2"/>
        <v>1213484</v>
      </c>
      <c r="K19" s="575">
        <f t="shared" si="2"/>
        <v>1211446</v>
      </c>
      <c r="L19" s="575">
        <f t="shared" si="2"/>
        <v>2119408</v>
      </c>
      <c r="M19" s="575">
        <f t="shared" si="2"/>
        <v>1792370</v>
      </c>
      <c r="N19" s="575">
        <f t="shared" si="2"/>
        <v>1485332</v>
      </c>
      <c r="O19" s="577">
        <v>0</v>
      </c>
      <c r="P19" s="264" t="e">
        <f>#REF!</f>
        <v>#REF!</v>
      </c>
    </row>
    <row r="20" spans="1:17" s="1" customFormat="1">
      <c r="A20" s="314">
        <v>11</v>
      </c>
      <c r="B20" s="320" t="s">
        <v>319</v>
      </c>
      <c r="C20" s="578">
        <f>SUM(C17:C19)</f>
        <v>2407719</v>
      </c>
      <c r="D20" s="578">
        <f t="shared" ref="D20:N20" si="3">SUM(D17:D19)</f>
        <v>2082838</v>
      </c>
      <c r="E20" s="578">
        <f t="shared" si="3"/>
        <v>3028867</v>
      </c>
      <c r="F20" s="578">
        <f t="shared" si="3"/>
        <v>2736529</v>
      </c>
      <c r="G20" s="578">
        <f t="shared" si="3"/>
        <v>2429591</v>
      </c>
      <c r="H20" s="578">
        <f t="shared" si="3"/>
        <v>2122436</v>
      </c>
      <c r="I20" s="578">
        <f t="shared" si="3"/>
        <v>1815398</v>
      </c>
      <c r="J20" s="578">
        <f t="shared" si="3"/>
        <v>1813360</v>
      </c>
      <c r="K20" s="578">
        <f t="shared" si="3"/>
        <v>2721322</v>
      </c>
      <c r="L20" s="578">
        <f t="shared" si="3"/>
        <v>2414284</v>
      </c>
      <c r="M20" s="578">
        <f t="shared" si="3"/>
        <v>2087246</v>
      </c>
      <c r="N20" s="578">
        <f t="shared" si="3"/>
        <v>1910773</v>
      </c>
      <c r="O20" s="579">
        <f>O17+O18+O19</f>
        <v>6677643</v>
      </c>
      <c r="P20" s="144" t="e">
        <f>SUM(P17:P19)</f>
        <v>#REF!</v>
      </c>
    </row>
    <row r="21" spans="1:17">
      <c r="A21" s="314">
        <v>12</v>
      </c>
      <c r="B21" s="305" t="s">
        <v>320</v>
      </c>
      <c r="C21" s="575">
        <v>525175</v>
      </c>
      <c r="D21" s="575">
        <v>525175</v>
      </c>
      <c r="E21" s="575">
        <v>525175</v>
      </c>
      <c r="F21" s="575">
        <v>525175</v>
      </c>
      <c r="G21" s="575">
        <v>525175</v>
      </c>
      <c r="H21" s="575">
        <v>525175</v>
      </c>
      <c r="I21" s="575">
        <v>525175</v>
      </c>
      <c r="J21" s="575">
        <v>525175</v>
      </c>
      <c r="K21" s="575">
        <v>525175</v>
      </c>
      <c r="L21" s="575">
        <v>545175</v>
      </c>
      <c r="M21" s="575">
        <v>525175</v>
      </c>
      <c r="N21" s="575">
        <v>685544</v>
      </c>
      <c r="O21" s="577">
        <f>SUM(C21:N21)</f>
        <v>6482469</v>
      </c>
      <c r="P21" s="166" t="e">
        <f>#REF!</f>
        <v>#REF!</v>
      </c>
      <c r="Q21" s="41" t="e">
        <f>O21-#REF!</f>
        <v>#REF!</v>
      </c>
    </row>
    <row r="22" spans="1:17">
      <c r="A22" s="314">
        <v>13</v>
      </c>
      <c r="B22" s="305" t="s">
        <v>141</v>
      </c>
      <c r="C22" s="575">
        <v>81776</v>
      </c>
      <c r="D22" s="575">
        <v>0</v>
      </c>
      <c r="E22" s="575">
        <v>0</v>
      </c>
      <c r="F22" s="575">
        <v>0</v>
      </c>
      <c r="G22" s="575">
        <v>0</v>
      </c>
      <c r="H22" s="575">
        <v>0</v>
      </c>
      <c r="I22" s="575">
        <v>0</v>
      </c>
      <c r="J22" s="575">
        <v>0</v>
      </c>
      <c r="K22" s="575">
        <v>0</v>
      </c>
      <c r="L22" s="575">
        <v>0</v>
      </c>
      <c r="M22" s="575">
        <v>0</v>
      </c>
      <c r="N22" s="576">
        <v>0</v>
      </c>
      <c r="O22" s="577">
        <f t="shared" ref="O22:O23" si="4">SUM(C22:N22)</f>
        <v>81776</v>
      </c>
      <c r="P22" s="166" t="e">
        <f>#REF!</f>
        <v>#REF!</v>
      </c>
      <c r="Q22" s="41" t="e">
        <f>O22-#REF!</f>
        <v>#REF!</v>
      </c>
    </row>
    <row r="23" spans="1:17">
      <c r="A23" s="314">
        <v>14</v>
      </c>
      <c r="B23" s="305" t="s">
        <v>142</v>
      </c>
      <c r="C23" s="575">
        <v>76739</v>
      </c>
      <c r="D23" s="575">
        <v>76739</v>
      </c>
      <c r="E23" s="575">
        <v>66739</v>
      </c>
      <c r="F23" s="575">
        <v>76739</v>
      </c>
      <c r="G23" s="575">
        <v>76739</v>
      </c>
      <c r="H23" s="575">
        <v>76739</v>
      </c>
      <c r="I23" s="575">
        <v>76739</v>
      </c>
      <c r="J23" s="575">
        <v>76739</v>
      </c>
      <c r="K23" s="575">
        <v>76739</v>
      </c>
      <c r="L23" s="575">
        <v>76739</v>
      </c>
      <c r="M23" s="575">
        <v>76739</v>
      </c>
      <c r="N23" s="575">
        <v>73769</v>
      </c>
      <c r="O23" s="577">
        <f t="shared" si="4"/>
        <v>907898</v>
      </c>
      <c r="P23" s="166" t="e">
        <f>#REF!</f>
        <v>#REF!</v>
      </c>
      <c r="Q23" s="41" t="e">
        <f>O23-#REF!</f>
        <v>#REF!</v>
      </c>
    </row>
    <row r="24" spans="1:17" s="306" customFormat="1">
      <c r="A24" s="314">
        <v>15</v>
      </c>
      <c r="B24" s="320" t="s">
        <v>481</v>
      </c>
      <c r="C24" s="578">
        <f>SUM(C21:C23)</f>
        <v>683690</v>
      </c>
      <c r="D24" s="578">
        <f t="shared" ref="D24:N24" si="5">SUM(D21:D23)</f>
        <v>601914</v>
      </c>
      <c r="E24" s="578">
        <f t="shared" si="5"/>
        <v>591914</v>
      </c>
      <c r="F24" s="578">
        <f t="shared" si="5"/>
        <v>601914</v>
      </c>
      <c r="G24" s="578">
        <f t="shared" si="5"/>
        <v>601914</v>
      </c>
      <c r="H24" s="578">
        <f t="shared" si="5"/>
        <v>601914</v>
      </c>
      <c r="I24" s="578">
        <f t="shared" si="5"/>
        <v>601914</v>
      </c>
      <c r="J24" s="578">
        <f t="shared" si="5"/>
        <v>601914</v>
      </c>
      <c r="K24" s="578">
        <f t="shared" si="5"/>
        <v>601914</v>
      </c>
      <c r="L24" s="578">
        <f t="shared" si="5"/>
        <v>621914</v>
      </c>
      <c r="M24" s="578">
        <f t="shared" si="5"/>
        <v>601914</v>
      </c>
      <c r="N24" s="578">
        <f t="shared" si="5"/>
        <v>759313</v>
      </c>
      <c r="O24" s="579">
        <f>SUM(C24:N24)</f>
        <v>7472143</v>
      </c>
      <c r="P24" s="144" t="e">
        <f>SUM(P21:P23)</f>
        <v>#REF!</v>
      </c>
    </row>
    <row r="25" spans="1:17" s="1" customFormat="1" ht="15.75" thickBot="1">
      <c r="A25" s="315">
        <v>16</v>
      </c>
      <c r="B25" s="321" t="s">
        <v>482</v>
      </c>
      <c r="C25" s="581">
        <f>SUM(C20-C24)</f>
        <v>1724029</v>
      </c>
      <c r="D25" s="581">
        <f t="shared" ref="D25:M25" si="6">SUM(D20-D24)</f>
        <v>1480924</v>
      </c>
      <c r="E25" s="581">
        <f>SUM(E20-E24)</f>
        <v>2436953</v>
      </c>
      <c r="F25" s="581">
        <f t="shared" si="6"/>
        <v>2134615</v>
      </c>
      <c r="G25" s="581">
        <f t="shared" si="6"/>
        <v>1827677</v>
      </c>
      <c r="H25" s="581">
        <f t="shared" si="6"/>
        <v>1520522</v>
      </c>
      <c r="I25" s="581">
        <f t="shared" si="6"/>
        <v>1213484</v>
      </c>
      <c r="J25" s="581">
        <f t="shared" si="6"/>
        <v>1211446</v>
      </c>
      <c r="K25" s="581">
        <f>SUM(K20-K24)</f>
        <v>2119408</v>
      </c>
      <c r="L25" s="581">
        <f t="shared" si="6"/>
        <v>1792370</v>
      </c>
      <c r="M25" s="581">
        <f t="shared" si="6"/>
        <v>1485332</v>
      </c>
      <c r="N25" s="582">
        <f>SUM(N20-N24)</f>
        <v>1151460</v>
      </c>
      <c r="O25" s="583">
        <v>0</v>
      </c>
      <c r="P25" s="144"/>
    </row>
    <row r="27" spans="1:17">
      <c r="P27" s="307"/>
    </row>
    <row r="29" spans="1:17">
      <c r="J29" s="292" t="s">
        <v>71</v>
      </c>
    </row>
  </sheetData>
  <mergeCells count="3">
    <mergeCell ref="A1:O1"/>
    <mergeCell ref="A4:O4"/>
    <mergeCell ref="N6:O6"/>
  </mergeCells>
  <phoneticPr fontId="20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8" fitToHeight="0" orientation="landscape" r:id="rId1"/>
  <headerFooter>
    <oddFooter>&amp;P. oldal</oddFooter>
  </headerFooter>
  <customProperties>
    <customPr name="OrphanNamesChecke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V105"/>
  <sheetViews>
    <sheetView view="pageBreakPreview" zoomScale="80" zoomScaleNormal="100" zoomScaleSheetLayoutView="80" workbookViewId="0">
      <selection activeCell="C2" sqref="C2"/>
    </sheetView>
  </sheetViews>
  <sheetFormatPr defaultColWidth="9.140625" defaultRowHeight="15"/>
  <cols>
    <col min="1" max="1" width="4.42578125" style="41" customWidth="1"/>
    <col min="2" max="5" width="9.140625" style="41"/>
    <col min="6" max="6" width="10.42578125" style="41" customWidth="1"/>
    <col min="7" max="9" width="11.5703125" style="329" customWidth="1"/>
    <col min="10" max="10" width="11.5703125" style="327" customWidth="1"/>
    <col min="11" max="14" width="9.140625" style="41"/>
    <col min="15" max="15" width="11.5703125" style="41" customWidth="1"/>
    <col min="16" max="18" width="11.5703125" style="329" customWidth="1"/>
    <col min="19" max="19" width="11.5703125" style="327" customWidth="1"/>
    <col min="20" max="20" width="9.140625" style="41"/>
    <col min="21" max="22" width="9.85546875" style="41" bestFit="1" customWidth="1"/>
    <col min="23" max="16384" width="9.140625" style="41"/>
  </cols>
  <sheetData>
    <row r="1" spans="1:20">
      <c r="B1" s="41" t="s">
        <v>577</v>
      </c>
      <c r="G1" s="327"/>
      <c r="H1" s="327"/>
      <c r="I1" s="327"/>
      <c r="P1" s="327"/>
      <c r="Q1" s="327"/>
      <c r="R1" s="327"/>
    </row>
    <row r="2" spans="1:20">
      <c r="G2" s="327"/>
      <c r="H2" s="327"/>
      <c r="I2" s="327"/>
      <c r="P2" s="327"/>
      <c r="Q2" s="327"/>
      <c r="R2" s="327"/>
    </row>
    <row r="3" spans="1:20" ht="15.75">
      <c r="A3" s="862" t="s">
        <v>526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</row>
    <row r="4" spans="1:20">
      <c r="D4" s="144"/>
      <c r="E4" s="144"/>
      <c r="F4" s="144"/>
      <c r="G4" s="328"/>
      <c r="H4" s="328"/>
      <c r="I4" s="328"/>
      <c r="P4" s="327"/>
      <c r="Q4" s="327"/>
      <c r="R4" s="327"/>
      <c r="T4" s="620"/>
    </row>
    <row r="5" spans="1:20">
      <c r="G5" s="327"/>
      <c r="H5" s="327"/>
      <c r="I5" s="327"/>
      <c r="P5" s="327"/>
      <c r="Q5" s="327"/>
      <c r="R5" s="327"/>
    </row>
    <row r="6" spans="1:20">
      <c r="G6" s="327"/>
      <c r="H6" s="327"/>
      <c r="I6" s="327"/>
      <c r="P6" s="327"/>
      <c r="Q6" s="865" t="s">
        <v>321</v>
      </c>
      <c r="R6" s="865"/>
      <c r="S6" s="865"/>
    </row>
    <row r="7" spans="1:20">
      <c r="A7" s="9"/>
      <c r="B7" s="303" t="s">
        <v>414</v>
      </c>
      <c r="C7" s="866" t="s">
        <v>415</v>
      </c>
      <c r="D7" s="866"/>
      <c r="E7" s="866"/>
      <c r="F7" s="866"/>
      <c r="G7" s="502" t="s">
        <v>416</v>
      </c>
      <c r="H7" s="502" t="s">
        <v>417</v>
      </c>
      <c r="I7" s="502" t="s">
        <v>418</v>
      </c>
      <c r="J7" s="502" t="s">
        <v>419</v>
      </c>
      <c r="K7" s="866" t="s">
        <v>424</v>
      </c>
      <c r="L7" s="866"/>
      <c r="M7" s="866"/>
      <c r="N7" s="866"/>
      <c r="O7" s="866"/>
      <c r="P7" s="502" t="s">
        <v>425</v>
      </c>
      <c r="Q7" s="502" t="s">
        <v>426</v>
      </c>
      <c r="R7" s="502" t="s">
        <v>427</v>
      </c>
      <c r="S7" s="502" t="s">
        <v>428</v>
      </c>
    </row>
    <row r="8" spans="1:20" ht="50.25" customHeight="1">
      <c r="A8" s="9"/>
      <c r="B8" s="863" t="s">
        <v>123</v>
      </c>
      <c r="C8" s="863"/>
      <c r="D8" s="863"/>
      <c r="E8" s="863"/>
      <c r="F8" s="863"/>
      <c r="G8" s="503" t="s">
        <v>523</v>
      </c>
      <c r="H8" s="503" t="s">
        <v>322</v>
      </c>
      <c r="I8" s="503" t="s">
        <v>323</v>
      </c>
      <c r="J8" s="516" t="s">
        <v>451</v>
      </c>
      <c r="K8" s="863" t="s">
        <v>138</v>
      </c>
      <c r="L8" s="863"/>
      <c r="M8" s="863"/>
      <c r="N8" s="863"/>
      <c r="O8" s="863"/>
      <c r="P8" s="503" t="s">
        <v>523</v>
      </c>
      <c r="Q8" s="503" t="s">
        <v>322</v>
      </c>
      <c r="R8" s="503" t="s">
        <v>323</v>
      </c>
      <c r="S8" s="516" t="s">
        <v>451</v>
      </c>
    </row>
    <row r="9" spans="1:20">
      <c r="A9" s="9"/>
      <c r="B9" s="815" t="s">
        <v>324</v>
      </c>
      <c r="C9" s="816"/>
      <c r="D9" s="816"/>
      <c r="E9" s="816"/>
      <c r="F9" s="816"/>
      <c r="G9" s="816"/>
      <c r="H9" s="816"/>
      <c r="I9" s="816"/>
      <c r="J9" s="816"/>
      <c r="K9" s="816"/>
      <c r="L9" s="816"/>
      <c r="M9" s="816"/>
      <c r="N9" s="816"/>
      <c r="O9" s="816"/>
      <c r="P9" s="816"/>
      <c r="Q9" s="816"/>
      <c r="R9" s="816"/>
      <c r="S9" s="817"/>
    </row>
    <row r="10" spans="1:20">
      <c r="A10" s="9">
        <v>1</v>
      </c>
      <c r="B10" s="147" t="s">
        <v>325</v>
      </c>
      <c r="C10" s="9" t="s">
        <v>326</v>
      </c>
      <c r="D10" s="9"/>
      <c r="E10" s="9"/>
      <c r="F10" s="9"/>
      <c r="G10" s="14" t="e">
        <f>#REF!</f>
        <v>#REF!</v>
      </c>
      <c r="H10" s="14" t="e">
        <f>G10-I10</f>
        <v>#REF!</v>
      </c>
      <c r="I10" s="14" t="e">
        <f>(#REF!+#REF!+#REF!)/1000</f>
        <v>#REF!</v>
      </c>
      <c r="J10" s="56">
        <v>0</v>
      </c>
      <c r="K10" s="10" t="s">
        <v>327</v>
      </c>
      <c r="L10" s="859" t="s">
        <v>328</v>
      </c>
      <c r="M10" s="860"/>
      <c r="N10" s="860"/>
      <c r="O10" s="861"/>
      <c r="P10" s="14" t="e">
        <f>#REF!</f>
        <v>#REF!</v>
      </c>
      <c r="Q10" s="14" t="e">
        <f t="shared" ref="Q10:Q14" si="0">P10-R10</f>
        <v>#REF!</v>
      </c>
      <c r="R10" s="14">
        <v>105503</v>
      </c>
      <c r="S10" s="14">
        <v>0</v>
      </c>
    </row>
    <row r="11" spans="1:20">
      <c r="A11" s="9">
        <v>2</v>
      </c>
      <c r="B11" s="147" t="s">
        <v>329</v>
      </c>
      <c r="C11" s="833" t="s">
        <v>330</v>
      </c>
      <c r="D11" s="833"/>
      <c r="E11" s="833"/>
      <c r="F11" s="833"/>
      <c r="G11" s="14" t="e">
        <f>#REF!+#REF!</f>
        <v>#REF!</v>
      </c>
      <c r="H11" s="14" t="e">
        <f t="shared" ref="H11:H14" si="1">G11-I11</f>
        <v>#REF!</v>
      </c>
      <c r="I11" s="14">
        <v>36095</v>
      </c>
      <c r="J11" s="56">
        <v>0</v>
      </c>
      <c r="K11" s="10" t="s">
        <v>331</v>
      </c>
      <c r="L11" s="864" t="s">
        <v>332</v>
      </c>
      <c r="M11" s="864"/>
      <c r="N11" s="864"/>
      <c r="O11" s="864"/>
      <c r="P11" s="14" t="e">
        <f>#REF!</f>
        <v>#REF!</v>
      </c>
      <c r="Q11" s="14" t="e">
        <f t="shared" si="0"/>
        <v>#REF!</v>
      </c>
      <c r="R11" s="14">
        <v>12149</v>
      </c>
      <c r="S11" s="14">
        <v>0</v>
      </c>
    </row>
    <row r="12" spans="1:20">
      <c r="A12" s="9">
        <v>3</v>
      </c>
      <c r="B12" s="147" t="s">
        <v>333</v>
      </c>
      <c r="C12" s="833" t="s">
        <v>334</v>
      </c>
      <c r="D12" s="833"/>
      <c r="E12" s="833"/>
      <c r="F12" s="833"/>
      <c r="G12" s="14" t="e">
        <f>#REF!</f>
        <v>#REF!</v>
      </c>
      <c r="H12" s="14" t="e">
        <f t="shared" si="1"/>
        <v>#REF!</v>
      </c>
      <c r="I12" s="14">
        <v>19000</v>
      </c>
      <c r="J12" s="56">
        <v>0</v>
      </c>
      <c r="K12" s="10" t="s">
        <v>335</v>
      </c>
      <c r="L12" s="859" t="s">
        <v>336</v>
      </c>
      <c r="M12" s="860"/>
      <c r="N12" s="860"/>
      <c r="O12" s="861"/>
      <c r="P12" s="14" t="e">
        <f>#REF!</f>
        <v>#REF!</v>
      </c>
      <c r="Q12" s="14" t="e">
        <f t="shared" si="0"/>
        <v>#REF!</v>
      </c>
      <c r="R12" s="14">
        <v>220566</v>
      </c>
      <c r="S12" s="14">
        <v>0</v>
      </c>
    </row>
    <row r="13" spans="1:20">
      <c r="A13" s="9">
        <v>4</v>
      </c>
      <c r="B13" s="147" t="s">
        <v>337</v>
      </c>
      <c r="C13" s="64" t="s">
        <v>338</v>
      </c>
      <c r="D13" s="64"/>
      <c r="E13" s="64"/>
      <c r="F13" s="64"/>
      <c r="G13" s="14">
        <v>100000</v>
      </c>
      <c r="H13" s="14">
        <f t="shared" si="1"/>
        <v>0</v>
      </c>
      <c r="I13" s="14">
        <v>100000</v>
      </c>
      <c r="J13" s="56">
        <v>0</v>
      </c>
      <c r="K13" s="10" t="s">
        <v>339</v>
      </c>
      <c r="L13" s="859" t="s">
        <v>340</v>
      </c>
      <c r="M13" s="860"/>
      <c r="N13" s="860"/>
      <c r="O13" s="861"/>
      <c r="P13" s="14" t="e">
        <f>#REF!</f>
        <v>#REF!</v>
      </c>
      <c r="Q13" s="14" t="e">
        <f t="shared" si="0"/>
        <v>#REF!</v>
      </c>
      <c r="R13" s="14">
        <v>141150</v>
      </c>
      <c r="S13" s="14">
        <v>0</v>
      </c>
    </row>
    <row r="14" spans="1:20">
      <c r="A14" s="9">
        <v>5</v>
      </c>
      <c r="B14" s="147" t="s">
        <v>351</v>
      </c>
      <c r="C14" s="833" t="s">
        <v>352</v>
      </c>
      <c r="D14" s="833"/>
      <c r="E14" s="833"/>
      <c r="F14" s="833"/>
      <c r="G14" s="14" t="e">
        <f>#REF!</f>
        <v>#REF!</v>
      </c>
      <c r="H14" s="14" t="e">
        <f t="shared" si="1"/>
        <v>#REF!</v>
      </c>
      <c r="I14" s="14">
        <v>1635000</v>
      </c>
      <c r="J14" s="56">
        <v>0</v>
      </c>
      <c r="K14" s="10" t="s">
        <v>341</v>
      </c>
      <c r="L14" s="859" t="s">
        <v>342</v>
      </c>
      <c r="M14" s="860"/>
      <c r="N14" s="860"/>
      <c r="O14" s="861"/>
      <c r="P14" s="14" t="e">
        <f>#REF!+#REF!++#REF!</f>
        <v>#REF!</v>
      </c>
      <c r="Q14" s="14" t="e">
        <f t="shared" si="0"/>
        <v>#REF!</v>
      </c>
      <c r="R14" s="14">
        <v>600745</v>
      </c>
      <c r="S14" s="14">
        <v>0</v>
      </c>
    </row>
    <row r="15" spans="1:20">
      <c r="A15" s="9">
        <v>6</v>
      </c>
      <c r="B15" s="147"/>
      <c r="C15" s="834"/>
      <c r="D15" s="835"/>
      <c r="E15" s="835"/>
      <c r="F15" s="836"/>
      <c r="G15" s="14"/>
      <c r="H15" s="552"/>
      <c r="I15" s="552"/>
      <c r="J15" s="56"/>
      <c r="K15" s="10" t="s">
        <v>343</v>
      </c>
      <c r="L15" s="859" t="s">
        <v>344</v>
      </c>
      <c r="M15" s="860"/>
      <c r="N15" s="860"/>
      <c r="O15" s="861"/>
      <c r="P15" s="14" t="e">
        <f>#REF!+#REF!</f>
        <v>#REF!</v>
      </c>
      <c r="Q15" s="14" t="e">
        <f>P15-R15</f>
        <v>#REF!</v>
      </c>
      <c r="R15" s="14">
        <v>0</v>
      </c>
      <c r="S15" s="14">
        <v>0</v>
      </c>
    </row>
    <row r="16" spans="1:20">
      <c r="A16" s="9">
        <v>7</v>
      </c>
      <c r="B16" s="817" t="s">
        <v>345</v>
      </c>
      <c r="C16" s="837"/>
      <c r="D16" s="837"/>
      <c r="E16" s="837"/>
      <c r="F16" s="837"/>
      <c r="G16" s="48" t="e">
        <f>SUM(G10:G14)</f>
        <v>#REF!</v>
      </c>
      <c r="H16" s="48" t="e">
        <f>SUM(H10:H14)</f>
        <v>#REF!</v>
      </c>
      <c r="I16" s="48" t="e">
        <f>SUM(I10:I14)</f>
        <v>#REF!</v>
      </c>
      <c r="J16" s="52">
        <f>SUM(J10:J14)</f>
        <v>0</v>
      </c>
      <c r="K16" s="856" t="s">
        <v>346</v>
      </c>
      <c r="L16" s="857"/>
      <c r="M16" s="857"/>
      <c r="N16" s="857"/>
      <c r="O16" s="858"/>
      <c r="P16" s="48" t="e">
        <f>SUM(P10:P15)</f>
        <v>#REF!</v>
      </c>
      <c r="Q16" s="48" t="e">
        <f>SUM(Q10:Q15)</f>
        <v>#REF!</v>
      </c>
      <c r="R16" s="48">
        <f>SUM(R10:R15)</f>
        <v>1080113</v>
      </c>
      <c r="S16" s="48">
        <f>SUM(S10:S15)</f>
        <v>0</v>
      </c>
    </row>
    <row r="17" spans="1:22">
      <c r="A17" s="9">
        <v>8</v>
      </c>
      <c r="B17" s="147" t="s">
        <v>347</v>
      </c>
      <c r="C17" s="64" t="s">
        <v>348</v>
      </c>
      <c r="D17" s="64"/>
      <c r="E17" s="64"/>
      <c r="F17" s="64"/>
      <c r="G17" s="14" t="e">
        <f>#REF!+#REF!+#REF!</f>
        <v>#REF!</v>
      </c>
      <c r="H17" s="14" t="e">
        <f t="shared" ref="H17:H23" si="2">G17-I17</f>
        <v>#REF!</v>
      </c>
      <c r="I17" s="14">
        <v>0</v>
      </c>
      <c r="J17" s="56">
        <v>0</v>
      </c>
      <c r="K17" s="10" t="s">
        <v>349</v>
      </c>
      <c r="L17" s="859" t="s">
        <v>350</v>
      </c>
      <c r="M17" s="860"/>
      <c r="N17" s="860"/>
      <c r="O17" s="861"/>
      <c r="P17" s="14" t="e">
        <f>#REF!</f>
        <v>#REF!</v>
      </c>
      <c r="Q17" s="14" t="e">
        <f>P17-R17</f>
        <v>#REF!</v>
      </c>
      <c r="R17" s="14">
        <v>170153</v>
      </c>
      <c r="S17" s="14">
        <v>0</v>
      </c>
    </row>
    <row r="18" spans="1:22">
      <c r="A18" s="9">
        <v>9</v>
      </c>
      <c r="B18" s="147" t="s">
        <v>355</v>
      </c>
      <c r="C18" s="64" t="s">
        <v>356</v>
      </c>
      <c r="D18" s="64"/>
      <c r="E18" s="64"/>
      <c r="F18" s="64"/>
      <c r="G18" s="14" t="e">
        <f>#REF!</f>
        <v>#REF!</v>
      </c>
      <c r="H18" s="14" t="e">
        <f t="shared" ref="H18:H19" si="3">G18-I18</f>
        <v>#REF!</v>
      </c>
      <c r="I18" s="14">
        <v>0</v>
      </c>
      <c r="J18" s="56">
        <v>0</v>
      </c>
      <c r="K18" s="10" t="s">
        <v>353</v>
      </c>
      <c r="L18" s="859" t="s">
        <v>354</v>
      </c>
      <c r="M18" s="860"/>
      <c r="N18" s="860"/>
      <c r="O18" s="861"/>
      <c r="P18" s="14" t="e">
        <f>#REF!</f>
        <v>#REF!</v>
      </c>
      <c r="Q18" s="14" t="e">
        <f t="shared" ref="Q18:Q19" si="4">P18-R18</f>
        <v>#REF!</v>
      </c>
      <c r="R18" s="14">
        <v>519115</v>
      </c>
      <c r="S18" s="14">
        <v>0</v>
      </c>
    </row>
    <row r="19" spans="1:22">
      <c r="A19" s="9">
        <v>10</v>
      </c>
      <c r="B19" s="147" t="s">
        <v>359</v>
      </c>
      <c r="C19" s="833" t="s">
        <v>360</v>
      </c>
      <c r="D19" s="833"/>
      <c r="E19" s="833"/>
      <c r="F19" s="833"/>
      <c r="G19" s="14" t="e">
        <f>#REF!</f>
        <v>#REF!</v>
      </c>
      <c r="H19" s="14" t="e">
        <f t="shared" si="3"/>
        <v>#REF!</v>
      </c>
      <c r="I19" s="14"/>
      <c r="J19" s="56">
        <v>0</v>
      </c>
      <c r="K19" s="10" t="s">
        <v>357</v>
      </c>
      <c r="L19" s="859" t="s">
        <v>358</v>
      </c>
      <c r="M19" s="860"/>
      <c r="N19" s="860"/>
      <c r="O19" s="861"/>
      <c r="P19" s="14" t="e">
        <f>#REF!</f>
        <v>#REF!</v>
      </c>
      <c r="Q19" s="14" t="e">
        <f t="shared" si="4"/>
        <v>#REF!</v>
      </c>
      <c r="R19" s="14">
        <v>5500</v>
      </c>
      <c r="S19" s="14">
        <v>0</v>
      </c>
    </row>
    <row r="20" spans="1:22">
      <c r="A20" s="9">
        <v>11</v>
      </c>
      <c r="B20" s="816" t="s">
        <v>361</v>
      </c>
      <c r="C20" s="816"/>
      <c r="D20" s="816"/>
      <c r="E20" s="816"/>
      <c r="F20" s="817"/>
      <c r="G20" s="48" t="e">
        <f>SUM(G17:G19)</f>
        <v>#REF!</v>
      </c>
      <c r="H20" s="48" t="e">
        <f>SUM(H17:H19)</f>
        <v>#REF!</v>
      </c>
      <c r="I20" s="48">
        <f>SUM(I17:I19)</f>
        <v>0</v>
      </c>
      <c r="J20" s="52">
        <f>SUM(J17:J19)</f>
        <v>0</v>
      </c>
      <c r="K20" s="856" t="s">
        <v>362</v>
      </c>
      <c r="L20" s="857"/>
      <c r="M20" s="857"/>
      <c r="N20" s="857"/>
      <c r="O20" s="858"/>
      <c r="P20" s="48" t="e">
        <f>SUM(P17:P19)</f>
        <v>#REF!</v>
      </c>
      <c r="Q20" s="48" t="e">
        <f t="shared" ref="Q20:Q22" si="5">P20-R20</f>
        <v>#REF!</v>
      </c>
      <c r="R20" s="48">
        <f>SUM(R17:R19)</f>
        <v>694768</v>
      </c>
      <c r="S20" s="48">
        <v>0</v>
      </c>
    </row>
    <row r="21" spans="1:22" ht="23.25" customHeight="1">
      <c r="A21" s="9">
        <v>12</v>
      </c>
      <c r="B21" s="147"/>
      <c r="C21" s="815" t="s">
        <v>363</v>
      </c>
      <c r="D21" s="816"/>
      <c r="E21" s="816"/>
      <c r="F21" s="817"/>
      <c r="G21" s="48" t="e">
        <f>G20+G16</f>
        <v>#REF!</v>
      </c>
      <c r="H21" s="48" t="e">
        <f>G21-I21</f>
        <v>#REF!</v>
      </c>
      <c r="I21" s="48" t="e">
        <f>I20+I16</f>
        <v>#REF!</v>
      </c>
      <c r="J21" s="52">
        <f>J20+J16</f>
        <v>0</v>
      </c>
      <c r="K21" s="10"/>
      <c r="L21" s="856" t="s">
        <v>364</v>
      </c>
      <c r="M21" s="857"/>
      <c r="N21" s="857"/>
      <c r="O21" s="858"/>
      <c r="P21" s="48" t="e">
        <f>P20+P16</f>
        <v>#REF!</v>
      </c>
      <c r="Q21" s="48" t="e">
        <f>P21-R21</f>
        <v>#REF!</v>
      </c>
      <c r="R21" s="48">
        <f>R20+R16</f>
        <v>1774881</v>
      </c>
      <c r="S21" s="48">
        <f>S20+S16</f>
        <v>0</v>
      </c>
    </row>
    <row r="22" spans="1:22" ht="23.25" customHeight="1">
      <c r="A22" s="9">
        <v>13</v>
      </c>
      <c r="B22" s="147" t="s">
        <v>365</v>
      </c>
      <c r="C22" s="815" t="s">
        <v>318</v>
      </c>
      <c r="D22" s="816"/>
      <c r="E22" s="816"/>
      <c r="F22" s="817"/>
      <c r="G22" s="48">
        <v>0</v>
      </c>
      <c r="H22" s="14">
        <f t="shared" si="2"/>
        <v>0</v>
      </c>
      <c r="I22" s="48">
        <v>0</v>
      </c>
      <c r="J22" s="48">
        <v>0</v>
      </c>
      <c r="K22" s="56" t="s">
        <v>366</v>
      </c>
      <c r="L22" s="850" t="s">
        <v>367</v>
      </c>
      <c r="M22" s="851"/>
      <c r="N22" s="851"/>
      <c r="O22" s="852"/>
      <c r="P22" s="48" t="e">
        <f>#REF!</f>
        <v>#REF!</v>
      </c>
      <c r="Q22" s="48" t="e">
        <f t="shared" si="5"/>
        <v>#REF!</v>
      </c>
      <c r="R22" s="48">
        <v>10000</v>
      </c>
      <c r="S22" s="48">
        <v>0</v>
      </c>
    </row>
    <row r="23" spans="1:22">
      <c r="A23" s="9">
        <v>14</v>
      </c>
      <c r="B23" s="147" t="s">
        <v>368</v>
      </c>
      <c r="C23" s="815" t="s">
        <v>369</v>
      </c>
      <c r="D23" s="816"/>
      <c r="E23" s="816"/>
      <c r="F23" s="817"/>
      <c r="G23" s="48">
        <v>794500</v>
      </c>
      <c r="H23" s="48">
        <f t="shared" si="2"/>
        <v>765119</v>
      </c>
      <c r="I23" s="48">
        <v>29381</v>
      </c>
      <c r="J23" s="56">
        <v>0</v>
      </c>
      <c r="K23" s="56" t="s">
        <v>370</v>
      </c>
      <c r="L23" s="850" t="s">
        <v>371</v>
      </c>
      <c r="M23" s="851"/>
      <c r="N23" s="851"/>
      <c r="O23" s="852"/>
      <c r="P23" s="48" t="e">
        <f>#REF!</f>
        <v>#REF!</v>
      </c>
      <c r="Q23" s="48" t="e">
        <f>P23-R23</f>
        <v>#REF!</v>
      </c>
      <c r="R23" s="48">
        <f>109479+40939</f>
        <v>150418</v>
      </c>
      <c r="S23" s="48">
        <v>0</v>
      </c>
      <c r="V23" s="41" t="e">
        <f>R24-I24</f>
        <v>#REF!</v>
      </c>
    </row>
    <row r="24" spans="1:22" ht="23.25" customHeight="1">
      <c r="A24" s="9">
        <v>15</v>
      </c>
      <c r="B24" s="148"/>
      <c r="C24" s="824" t="s">
        <v>372</v>
      </c>
      <c r="D24" s="825"/>
      <c r="E24" s="825"/>
      <c r="F24" s="826"/>
      <c r="G24" s="584" t="e">
        <f>G23+G21+G22</f>
        <v>#REF!</v>
      </c>
      <c r="H24" s="584" t="e">
        <f>G24-I24</f>
        <v>#REF!</v>
      </c>
      <c r="I24" s="584" t="e">
        <f t="shared" ref="I24:J24" si="6">I23+I21</f>
        <v>#REF!</v>
      </c>
      <c r="J24" s="517">
        <f t="shared" si="6"/>
        <v>0</v>
      </c>
      <c r="K24" s="517"/>
      <c r="L24" s="853" t="s">
        <v>373</v>
      </c>
      <c r="M24" s="854"/>
      <c r="N24" s="854"/>
      <c r="O24" s="855"/>
      <c r="P24" s="584" t="e">
        <f>P23+P21+P22</f>
        <v>#REF!</v>
      </c>
      <c r="Q24" s="584" t="e">
        <f t="shared" ref="Q24:R24" si="7">Q23+Q21+Q22</f>
        <v>#REF!</v>
      </c>
      <c r="R24" s="584">
        <f t="shared" si="7"/>
        <v>1935299</v>
      </c>
      <c r="S24" s="584">
        <f>S23+S21</f>
        <v>0</v>
      </c>
    </row>
    <row r="25" spans="1:22" ht="20.25" customHeight="1">
      <c r="A25" s="9">
        <v>16</v>
      </c>
      <c r="B25" s="816" t="s">
        <v>522</v>
      </c>
      <c r="C25" s="816"/>
      <c r="D25" s="816"/>
      <c r="E25" s="816"/>
      <c r="F25" s="816"/>
      <c r="G25" s="816"/>
      <c r="H25" s="816"/>
      <c r="I25" s="816"/>
      <c r="J25" s="816"/>
      <c r="K25" s="816"/>
      <c r="L25" s="816"/>
      <c r="M25" s="816"/>
      <c r="N25" s="816"/>
      <c r="O25" s="816"/>
      <c r="P25" s="816"/>
      <c r="Q25" s="816"/>
      <c r="R25" s="816"/>
      <c r="S25" s="817"/>
    </row>
    <row r="26" spans="1:22">
      <c r="A26" s="9">
        <v>17</v>
      </c>
      <c r="B26" s="147" t="s">
        <v>325</v>
      </c>
      <c r="C26" s="9" t="s">
        <v>326</v>
      </c>
      <c r="D26" s="9"/>
      <c r="E26" s="9"/>
      <c r="F26" s="9"/>
      <c r="G26" s="14">
        <v>0</v>
      </c>
      <c r="H26" s="14">
        <f>G26-I26</f>
        <v>0</v>
      </c>
      <c r="I26" s="14">
        <v>0</v>
      </c>
      <c r="J26" s="14">
        <v>0</v>
      </c>
      <c r="K26" s="14" t="s">
        <v>327</v>
      </c>
      <c r="L26" s="830" t="s">
        <v>328</v>
      </c>
      <c r="M26" s="831"/>
      <c r="N26" s="831"/>
      <c r="O26" s="832"/>
      <c r="P26" s="14">
        <v>516703</v>
      </c>
      <c r="Q26" s="14">
        <f>P26</f>
        <v>516703</v>
      </c>
      <c r="R26" s="14">
        <v>0</v>
      </c>
      <c r="S26" s="14">
        <v>0</v>
      </c>
    </row>
    <row r="27" spans="1:22">
      <c r="A27" s="9">
        <v>18</v>
      </c>
      <c r="B27" s="147" t="s">
        <v>329</v>
      </c>
      <c r="C27" s="833" t="s">
        <v>330</v>
      </c>
      <c r="D27" s="833"/>
      <c r="E27" s="833"/>
      <c r="F27" s="833"/>
      <c r="G27" s="14">
        <v>8157</v>
      </c>
      <c r="H27" s="14">
        <f t="shared" ref="H27:H30" si="8">G27-I27</f>
        <v>8157</v>
      </c>
      <c r="I27" s="14">
        <v>0</v>
      </c>
      <c r="J27" s="14">
        <v>0</v>
      </c>
      <c r="K27" s="14" t="s">
        <v>331</v>
      </c>
      <c r="L27" s="839" t="s">
        <v>332</v>
      </c>
      <c r="M27" s="839"/>
      <c r="N27" s="839"/>
      <c r="O27" s="839"/>
      <c r="P27" s="14">
        <v>76984</v>
      </c>
      <c r="Q27" s="14">
        <f t="shared" ref="Q27:Q31" si="9">P27</f>
        <v>76984</v>
      </c>
      <c r="R27" s="14">
        <v>0</v>
      </c>
      <c r="S27" s="14">
        <v>0</v>
      </c>
    </row>
    <row r="28" spans="1:22">
      <c r="A28" s="9">
        <v>19</v>
      </c>
      <c r="B28" s="147" t="s">
        <v>333</v>
      </c>
      <c r="C28" s="833" t="s">
        <v>334</v>
      </c>
      <c r="D28" s="833"/>
      <c r="E28" s="833"/>
      <c r="F28" s="833"/>
      <c r="G28" s="14">
        <v>10529</v>
      </c>
      <c r="H28" s="14">
        <f t="shared" si="8"/>
        <v>10529</v>
      </c>
      <c r="I28" s="14">
        <v>0</v>
      </c>
      <c r="J28" s="14">
        <v>0</v>
      </c>
      <c r="K28" s="14" t="s">
        <v>335</v>
      </c>
      <c r="L28" s="830" t="s">
        <v>336</v>
      </c>
      <c r="M28" s="831"/>
      <c r="N28" s="831"/>
      <c r="O28" s="832"/>
      <c r="P28" s="14">
        <v>212790</v>
      </c>
      <c r="Q28" s="14">
        <f t="shared" si="9"/>
        <v>212790</v>
      </c>
      <c r="R28" s="14">
        <v>0</v>
      </c>
      <c r="S28" s="14">
        <v>0</v>
      </c>
    </row>
    <row r="29" spans="1:22">
      <c r="A29" s="9">
        <v>20</v>
      </c>
      <c r="B29" s="147" t="s">
        <v>337</v>
      </c>
      <c r="C29" s="64" t="s">
        <v>338</v>
      </c>
      <c r="D29" s="64"/>
      <c r="E29" s="64"/>
      <c r="F29" s="64"/>
      <c r="G29" s="14">
        <v>0</v>
      </c>
      <c r="H29" s="14">
        <f t="shared" si="8"/>
        <v>0</v>
      </c>
      <c r="I29" s="14">
        <v>0</v>
      </c>
      <c r="J29" s="14">
        <v>0</v>
      </c>
      <c r="K29" s="14" t="s">
        <v>339</v>
      </c>
      <c r="L29" s="830" t="s">
        <v>340</v>
      </c>
      <c r="M29" s="831"/>
      <c r="N29" s="831"/>
      <c r="O29" s="832"/>
      <c r="P29" s="14">
        <f>[4]Kiadások!F41</f>
        <v>0</v>
      </c>
      <c r="Q29" s="14">
        <f t="shared" si="9"/>
        <v>0</v>
      </c>
      <c r="R29" s="14">
        <v>0</v>
      </c>
      <c r="S29" s="14">
        <v>0</v>
      </c>
    </row>
    <row r="30" spans="1:22">
      <c r="A30" s="9">
        <v>21</v>
      </c>
      <c r="B30" s="147" t="s">
        <v>351</v>
      </c>
      <c r="C30" s="833" t="s">
        <v>352</v>
      </c>
      <c r="D30" s="833"/>
      <c r="E30" s="833"/>
      <c r="F30" s="833"/>
      <c r="G30" s="14">
        <v>0</v>
      </c>
      <c r="H30" s="14">
        <f t="shared" si="8"/>
        <v>0</v>
      </c>
      <c r="I30" s="14">
        <v>0</v>
      </c>
      <c r="J30" s="14">
        <v>0</v>
      </c>
      <c r="K30" s="14" t="s">
        <v>341</v>
      </c>
      <c r="L30" s="830" t="s">
        <v>342</v>
      </c>
      <c r="M30" s="831"/>
      <c r="N30" s="831"/>
      <c r="O30" s="832"/>
      <c r="P30" s="14">
        <v>0</v>
      </c>
      <c r="Q30" s="14">
        <f t="shared" si="9"/>
        <v>0</v>
      </c>
      <c r="R30" s="14">
        <v>0</v>
      </c>
      <c r="S30" s="14">
        <v>0</v>
      </c>
    </row>
    <row r="31" spans="1:22">
      <c r="A31" s="9">
        <v>22</v>
      </c>
      <c r="B31" s="843"/>
      <c r="C31" s="844"/>
      <c r="D31" s="844"/>
      <c r="E31" s="844"/>
      <c r="F31" s="845"/>
      <c r="G31" s="14"/>
      <c r="H31" s="14"/>
      <c r="I31" s="14"/>
      <c r="J31" s="14"/>
      <c r="K31" s="14" t="s">
        <v>343</v>
      </c>
      <c r="L31" s="830" t="s">
        <v>344</v>
      </c>
      <c r="M31" s="831"/>
      <c r="N31" s="831"/>
      <c r="O31" s="832"/>
      <c r="P31" s="14">
        <v>0</v>
      </c>
      <c r="Q31" s="14">
        <f t="shared" si="9"/>
        <v>0</v>
      </c>
      <c r="R31" s="14">
        <v>0</v>
      </c>
      <c r="S31" s="14">
        <v>0</v>
      </c>
    </row>
    <row r="32" spans="1:22">
      <c r="A32" s="9">
        <v>23</v>
      </c>
      <c r="B32" s="817" t="s">
        <v>345</v>
      </c>
      <c r="C32" s="837"/>
      <c r="D32" s="837"/>
      <c r="E32" s="837"/>
      <c r="F32" s="837"/>
      <c r="G32" s="48">
        <f>SUM(G26:G31)</f>
        <v>18686</v>
      </c>
      <c r="H32" s="48">
        <f>SUM(H26:H31)</f>
        <v>18686</v>
      </c>
      <c r="I32" s="48">
        <f>SUM(I26:I31)</f>
        <v>0</v>
      </c>
      <c r="J32" s="48">
        <f>SUM(J26:J31)</f>
        <v>0</v>
      </c>
      <c r="K32" s="818" t="s">
        <v>346</v>
      </c>
      <c r="L32" s="819"/>
      <c r="M32" s="819"/>
      <c r="N32" s="819"/>
      <c r="O32" s="820"/>
      <c r="P32" s="48">
        <f>SUM(P26:P31)</f>
        <v>806477</v>
      </c>
      <c r="Q32" s="48">
        <f t="shared" ref="Q32:Q35" si="10">P32-R32</f>
        <v>806477</v>
      </c>
      <c r="R32" s="48">
        <f>SUM(R26:R31)</f>
        <v>0</v>
      </c>
      <c r="S32" s="48">
        <f>SUM(S26:S31)</f>
        <v>0</v>
      </c>
    </row>
    <row r="33" spans="1:19">
      <c r="A33" s="9">
        <v>24</v>
      </c>
      <c r="B33" s="147" t="s">
        <v>347</v>
      </c>
      <c r="C33" s="64" t="s">
        <v>348</v>
      </c>
      <c r="D33" s="64"/>
      <c r="E33" s="64"/>
      <c r="F33" s="64"/>
      <c r="G33" s="14">
        <v>0</v>
      </c>
      <c r="H33" s="14">
        <f t="shared" ref="H33:H35" si="11">G33-I33</f>
        <v>0</v>
      </c>
      <c r="I33" s="14">
        <v>0</v>
      </c>
      <c r="J33" s="14">
        <v>0</v>
      </c>
      <c r="K33" s="14" t="s">
        <v>349</v>
      </c>
      <c r="L33" s="830" t="s">
        <v>350</v>
      </c>
      <c r="M33" s="831"/>
      <c r="N33" s="831"/>
      <c r="O33" s="832"/>
      <c r="P33" s="14">
        <v>14986</v>
      </c>
      <c r="Q33" s="14">
        <f t="shared" si="10"/>
        <v>14986</v>
      </c>
      <c r="R33" s="14">
        <v>0</v>
      </c>
      <c r="S33" s="14">
        <v>0</v>
      </c>
    </row>
    <row r="34" spans="1:19">
      <c r="A34" s="9">
        <v>25</v>
      </c>
      <c r="B34" s="147" t="s">
        <v>355</v>
      </c>
      <c r="C34" s="64" t="s">
        <v>356</v>
      </c>
      <c r="D34" s="64"/>
      <c r="E34" s="64"/>
      <c r="F34" s="64"/>
      <c r="G34" s="14">
        <v>0</v>
      </c>
      <c r="H34" s="14">
        <f t="shared" si="11"/>
        <v>0</v>
      </c>
      <c r="I34" s="14">
        <v>0</v>
      </c>
      <c r="J34" s="14">
        <v>0</v>
      </c>
      <c r="K34" s="14" t="s">
        <v>353</v>
      </c>
      <c r="L34" s="830" t="s">
        <v>354</v>
      </c>
      <c r="M34" s="831"/>
      <c r="N34" s="831"/>
      <c r="O34" s="832"/>
      <c r="P34" s="14">
        <v>0</v>
      </c>
      <c r="Q34" s="14">
        <f t="shared" si="10"/>
        <v>0</v>
      </c>
      <c r="R34" s="14">
        <v>0</v>
      </c>
      <c r="S34" s="14">
        <v>0</v>
      </c>
    </row>
    <row r="35" spans="1:19">
      <c r="A35" s="9">
        <v>26</v>
      </c>
      <c r="B35" s="147" t="s">
        <v>359</v>
      </c>
      <c r="C35" s="833" t="s">
        <v>360</v>
      </c>
      <c r="D35" s="833"/>
      <c r="E35" s="833"/>
      <c r="F35" s="833"/>
      <c r="G35" s="14">
        <v>233</v>
      </c>
      <c r="H35" s="14">
        <f t="shared" si="11"/>
        <v>233</v>
      </c>
      <c r="I35" s="14">
        <v>0</v>
      </c>
      <c r="J35" s="14">
        <v>0</v>
      </c>
      <c r="K35" s="14" t="s">
        <v>357</v>
      </c>
      <c r="L35" s="830" t="s">
        <v>358</v>
      </c>
      <c r="M35" s="831"/>
      <c r="N35" s="831"/>
      <c r="O35" s="832"/>
      <c r="P35" s="14">
        <v>0</v>
      </c>
      <c r="Q35" s="14">
        <f t="shared" si="10"/>
        <v>0</v>
      </c>
      <c r="R35" s="14">
        <v>0</v>
      </c>
      <c r="S35" s="14">
        <v>0</v>
      </c>
    </row>
    <row r="36" spans="1:19">
      <c r="A36" s="9">
        <v>27</v>
      </c>
      <c r="B36" s="816" t="s">
        <v>361</v>
      </c>
      <c r="C36" s="816"/>
      <c r="D36" s="816"/>
      <c r="E36" s="816"/>
      <c r="F36" s="817"/>
      <c r="G36" s="48">
        <f>SUM(G33:G35)</f>
        <v>233</v>
      </c>
      <c r="H36" s="48">
        <f>SUM(H33:H35)</f>
        <v>233</v>
      </c>
      <c r="I36" s="48">
        <f>SUM(I33:I35)</f>
        <v>0</v>
      </c>
      <c r="J36" s="48">
        <f>SUM(J33:J35)</f>
        <v>0</v>
      </c>
      <c r="K36" s="818" t="s">
        <v>362</v>
      </c>
      <c r="L36" s="819"/>
      <c r="M36" s="819"/>
      <c r="N36" s="819"/>
      <c r="O36" s="820"/>
      <c r="P36" s="48">
        <f>SUM(P33:P35)</f>
        <v>14986</v>
      </c>
      <c r="Q36" s="48">
        <f>SUM(Q33:Q35)</f>
        <v>14986</v>
      </c>
      <c r="R36" s="48">
        <f>SUM(R33:R35)</f>
        <v>0</v>
      </c>
      <c r="S36" s="48">
        <f>SUM(S33:S35)</f>
        <v>0</v>
      </c>
    </row>
    <row r="37" spans="1:19">
      <c r="A37" s="9">
        <v>28</v>
      </c>
      <c r="B37" s="147"/>
      <c r="C37" s="815" t="s">
        <v>363</v>
      </c>
      <c r="D37" s="816"/>
      <c r="E37" s="816"/>
      <c r="F37" s="817"/>
      <c r="G37" s="48">
        <f>G36+G32</f>
        <v>18919</v>
      </c>
      <c r="H37" s="48">
        <f>H36+H32</f>
        <v>18919</v>
      </c>
      <c r="I37" s="48">
        <f>I36+I32</f>
        <v>0</v>
      </c>
      <c r="J37" s="48">
        <f>J36+J32</f>
        <v>0</v>
      </c>
      <c r="K37" s="14"/>
      <c r="L37" s="818" t="s">
        <v>364</v>
      </c>
      <c r="M37" s="819"/>
      <c r="N37" s="819"/>
      <c r="O37" s="820"/>
      <c r="P37" s="48">
        <f>P36+P32</f>
        <v>821463</v>
      </c>
      <c r="Q37" s="48">
        <f>Q36+Q32</f>
        <v>821463</v>
      </c>
      <c r="R37" s="48">
        <f>R36+R32</f>
        <v>0</v>
      </c>
      <c r="S37" s="48">
        <f>S36+S32</f>
        <v>0</v>
      </c>
    </row>
    <row r="38" spans="1:19">
      <c r="A38" s="9">
        <v>29</v>
      </c>
      <c r="B38" s="147" t="s">
        <v>368</v>
      </c>
      <c r="C38" s="815" t="s">
        <v>369</v>
      </c>
      <c r="D38" s="816"/>
      <c r="E38" s="816"/>
      <c r="F38" s="817"/>
      <c r="G38" s="48">
        <v>0</v>
      </c>
      <c r="H38" s="48">
        <v>0</v>
      </c>
      <c r="I38" s="14">
        <v>0</v>
      </c>
      <c r="J38" s="14">
        <v>0</v>
      </c>
      <c r="K38" s="14" t="s">
        <v>370</v>
      </c>
      <c r="L38" s="818" t="s">
        <v>371</v>
      </c>
      <c r="M38" s="819"/>
      <c r="N38" s="819"/>
      <c r="O38" s="820"/>
      <c r="P38" s="48">
        <v>0</v>
      </c>
      <c r="Q38" s="48">
        <v>0</v>
      </c>
      <c r="R38" s="48">
        <v>0</v>
      </c>
      <c r="S38" s="48">
        <v>0</v>
      </c>
    </row>
    <row r="39" spans="1:19">
      <c r="A39" s="9">
        <v>30</v>
      </c>
      <c r="B39" s="153" t="s">
        <v>374</v>
      </c>
      <c r="C39" s="815" t="s">
        <v>375</v>
      </c>
      <c r="D39" s="816"/>
      <c r="E39" s="816"/>
      <c r="F39" s="817"/>
      <c r="G39" s="588">
        <v>802544</v>
      </c>
      <c r="H39" s="48">
        <f t="shared" ref="H39" si="12">G39-I39</f>
        <v>802544</v>
      </c>
      <c r="I39" s="585">
        <v>0</v>
      </c>
      <c r="J39" s="585">
        <v>0</v>
      </c>
      <c r="K39" s="14"/>
      <c r="L39" s="518"/>
      <c r="M39" s="519"/>
      <c r="N39" s="519"/>
      <c r="O39" s="520"/>
      <c r="P39" s="48"/>
      <c r="Q39" s="48"/>
      <c r="R39" s="48"/>
      <c r="S39" s="48"/>
    </row>
    <row r="40" spans="1:19">
      <c r="A40" s="9">
        <v>31</v>
      </c>
      <c r="B40" s="154"/>
      <c r="C40" s="846" t="s">
        <v>372</v>
      </c>
      <c r="D40" s="847"/>
      <c r="E40" s="847"/>
      <c r="F40" s="848"/>
      <c r="G40" s="586">
        <f>G39+G38+G37</f>
        <v>821463</v>
      </c>
      <c r="H40" s="586">
        <f t="shared" ref="H40:J40" si="13">H39+H38+H37</f>
        <v>821463</v>
      </c>
      <c r="I40" s="586">
        <f t="shared" si="13"/>
        <v>0</v>
      </c>
      <c r="J40" s="586">
        <f t="shared" si="13"/>
        <v>0</v>
      </c>
      <c r="K40" s="517"/>
      <c r="L40" s="827" t="s">
        <v>373</v>
      </c>
      <c r="M40" s="828"/>
      <c r="N40" s="828"/>
      <c r="O40" s="829"/>
      <c r="P40" s="584">
        <f>P38+P37</f>
        <v>821463</v>
      </c>
      <c r="Q40" s="584">
        <f t="shared" ref="Q40:S40" si="14">Q38+Q37</f>
        <v>821463</v>
      </c>
      <c r="R40" s="584">
        <f t="shared" si="14"/>
        <v>0</v>
      </c>
      <c r="S40" s="584">
        <f t="shared" si="14"/>
        <v>0</v>
      </c>
    </row>
    <row r="41" spans="1:19" ht="30.75" customHeight="1">
      <c r="A41" s="9">
        <v>32</v>
      </c>
      <c r="B41" s="816" t="s">
        <v>68</v>
      </c>
      <c r="C41" s="816"/>
      <c r="D41" s="816"/>
      <c r="E41" s="816"/>
      <c r="F41" s="816"/>
      <c r="G41" s="816"/>
      <c r="H41" s="816"/>
      <c r="I41" s="816"/>
      <c r="J41" s="816"/>
      <c r="K41" s="816"/>
      <c r="L41" s="816"/>
      <c r="M41" s="816"/>
      <c r="N41" s="816"/>
      <c r="O41" s="816"/>
      <c r="P41" s="816"/>
      <c r="Q41" s="816"/>
      <c r="R41" s="816"/>
      <c r="S41" s="817"/>
    </row>
    <row r="42" spans="1:19">
      <c r="A42" s="9">
        <v>33</v>
      </c>
      <c r="B42" s="155" t="s">
        <v>325</v>
      </c>
      <c r="C42" s="149" t="s">
        <v>326</v>
      </c>
      <c r="D42" s="149"/>
      <c r="E42" s="149"/>
      <c r="F42" s="149"/>
      <c r="G42" s="587">
        <v>0</v>
      </c>
      <c r="H42" s="587">
        <v>0</v>
      </c>
      <c r="I42" s="587">
        <v>0</v>
      </c>
      <c r="J42" s="587">
        <v>0</v>
      </c>
      <c r="K42" s="9" t="s">
        <v>327</v>
      </c>
      <c r="L42" s="840" t="s">
        <v>328</v>
      </c>
      <c r="M42" s="841"/>
      <c r="N42" s="841"/>
      <c r="O42" s="842"/>
      <c r="P42" s="14">
        <v>566621</v>
      </c>
      <c r="Q42" s="14">
        <f t="shared" ref="Q42:Q47" si="15">P42-R42</f>
        <v>566621</v>
      </c>
      <c r="R42" s="14">
        <v>0</v>
      </c>
      <c r="S42" s="14">
        <v>0</v>
      </c>
    </row>
    <row r="43" spans="1:19">
      <c r="A43" s="9">
        <v>34</v>
      </c>
      <c r="B43" s="147" t="s">
        <v>329</v>
      </c>
      <c r="C43" s="833" t="s">
        <v>330</v>
      </c>
      <c r="D43" s="833"/>
      <c r="E43" s="833"/>
      <c r="F43" s="833"/>
      <c r="G43" s="14">
        <v>0</v>
      </c>
      <c r="H43" s="14">
        <v>0</v>
      </c>
      <c r="I43" s="14">
        <v>0</v>
      </c>
      <c r="J43" s="14">
        <v>0</v>
      </c>
      <c r="K43" s="9" t="s">
        <v>331</v>
      </c>
      <c r="L43" s="849" t="s">
        <v>332</v>
      </c>
      <c r="M43" s="849"/>
      <c r="N43" s="849"/>
      <c r="O43" s="849"/>
      <c r="P43" s="14">
        <v>85355</v>
      </c>
      <c r="Q43" s="14">
        <f t="shared" si="15"/>
        <v>85355</v>
      </c>
      <c r="R43" s="14">
        <v>0</v>
      </c>
      <c r="S43" s="14">
        <v>0</v>
      </c>
    </row>
    <row r="44" spans="1:19">
      <c r="A44" s="9">
        <v>35</v>
      </c>
      <c r="B44" s="147" t="s">
        <v>333</v>
      </c>
      <c r="C44" s="833" t="s">
        <v>334</v>
      </c>
      <c r="D44" s="833"/>
      <c r="E44" s="833"/>
      <c r="F44" s="833"/>
      <c r="G44" s="14">
        <v>0</v>
      </c>
      <c r="H44" s="14">
        <v>0</v>
      </c>
      <c r="I44" s="14">
        <v>0</v>
      </c>
      <c r="J44" s="14">
        <v>0</v>
      </c>
      <c r="K44" s="9" t="s">
        <v>335</v>
      </c>
      <c r="L44" s="840" t="s">
        <v>336</v>
      </c>
      <c r="M44" s="841"/>
      <c r="N44" s="841"/>
      <c r="O44" s="842"/>
      <c r="P44" s="14">
        <v>79659</v>
      </c>
      <c r="Q44" s="14">
        <f t="shared" si="15"/>
        <v>79659</v>
      </c>
      <c r="R44" s="14">
        <v>0</v>
      </c>
      <c r="S44" s="14">
        <v>0</v>
      </c>
    </row>
    <row r="45" spans="1:19">
      <c r="A45" s="9">
        <v>36</v>
      </c>
      <c r="B45" s="147" t="s">
        <v>337</v>
      </c>
      <c r="C45" s="64" t="s">
        <v>338</v>
      </c>
      <c r="D45" s="64"/>
      <c r="E45" s="64"/>
      <c r="F45" s="64"/>
      <c r="G45" s="14">
        <v>0</v>
      </c>
      <c r="H45" s="14">
        <v>0</v>
      </c>
      <c r="I45" s="14">
        <v>0</v>
      </c>
      <c r="J45" s="14">
        <v>0</v>
      </c>
      <c r="K45" s="9" t="s">
        <v>339</v>
      </c>
      <c r="L45" s="840" t="s">
        <v>340</v>
      </c>
      <c r="M45" s="841"/>
      <c r="N45" s="841"/>
      <c r="O45" s="842"/>
      <c r="P45" s="14">
        <f>[4]Kiadások!F69</f>
        <v>0</v>
      </c>
      <c r="Q45" s="14">
        <f t="shared" si="15"/>
        <v>0</v>
      </c>
      <c r="R45" s="14">
        <v>0</v>
      </c>
      <c r="S45" s="14">
        <v>0</v>
      </c>
    </row>
    <row r="46" spans="1:19">
      <c r="A46" s="9">
        <v>37</v>
      </c>
      <c r="B46" s="147" t="s">
        <v>351</v>
      </c>
      <c r="C46" s="833" t="s">
        <v>352</v>
      </c>
      <c r="D46" s="833"/>
      <c r="E46" s="833"/>
      <c r="F46" s="833"/>
      <c r="G46" s="14">
        <v>0</v>
      </c>
      <c r="H46" s="14">
        <v>0</v>
      </c>
      <c r="I46" s="14">
        <v>0</v>
      </c>
      <c r="J46" s="14">
        <v>0</v>
      </c>
      <c r="K46" s="9" t="s">
        <v>341</v>
      </c>
      <c r="L46" s="840" t="s">
        <v>342</v>
      </c>
      <c r="M46" s="841"/>
      <c r="N46" s="841"/>
      <c r="O46" s="842"/>
      <c r="P46" s="14">
        <v>0</v>
      </c>
      <c r="Q46" s="14">
        <f t="shared" si="15"/>
        <v>0</v>
      </c>
      <c r="R46" s="14">
        <v>0</v>
      </c>
      <c r="S46" s="14">
        <v>0</v>
      </c>
    </row>
    <row r="47" spans="1:19">
      <c r="A47" s="9">
        <v>38</v>
      </c>
      <c r="B47" s="843"/>
      <c r="C47" s="844"/>
      <c r="D47" s="844"/>
      <c r="E47" s="844"/>
      <c r="F47" s="845"/>
      <c r="G47" s="14"/>
      <c r="H47" s="14"/>
      <c r="I47" s="14"/>
      <c r="J47" s="14"/>
      <c r="K47" s="9" t="s">
        <v>343</v>
      </c>
      <c r="L47" s="840" t="s">
        <v>344</v>
      </c>
      <c r="M47" s="841"/>
      <c r="N47" s="841"/>
      <c r="O47" s="842"/>
      <c r="P47" s="14">
        <v>0</v>
      </c>
      <c r="Q47" s="14">
        <f t="shared" si="15"/>
        <v>0</v>
      </c>
      <c r="R47" s="14">
        <v>0</v>
      </c>
      <c r="S47" s="14">
        <v>0</v>
      </c>
    </row>
    <row r="48" spans="1:19">
      <c r="A48" s="9">
        <v>39</v>
      </c>
      <c r="B48" s="817" t="s">
        <v>345</v>
      </c>
      <c r="C48" s="837"/>
      <c r="D48" s="837"/>
      <c r="E48" s="837"/>
      <c r="F48" s="837"/>
      <c r="G48" s="48">
        <f>SUM(G42:G47)</f>
        <v>0</v>
      </c>
      <c r="H48" s="48">
        <f>SUM(H42:H47)</f>
        <v>0</v>
      </c>
      <c r="I48" s="48">
        <f>SUM(I42:I47)</f>
        <v>0</v>
      </c>
      <c r="J48" s="48">
        <f>SUM(J42:J47)</f>
        <v>0</v>
      </c>
      <c r="K48" s="815" t="s">
        <v>346</v>
      </c>
      <c r="L48" s="816"/>
      <c r="M48" s="816"/>
      <c r="N48" s="816"/>
      <c r="O48" s="817"/>
      <c r="P48" s="48">
        <f>SUM(P42:P47)</f>
        <v>731635</v>
      </c>
      <c r="Q48" s="48">
        <f>SUM(Q42:Q47)</f>
        <v>731635</v>
      </c>
      <c r="R48" s="14">
        <v>0</v>
      </c>
      <c r="S48" s="14">
        <v>0</v>
      </c>
    </row>
    <row r="49" spans="1:19">
      <c r="A49" s="9">
        <v>40</v>
      </c>
      <c r="B49" s="147" t="s">
        <v>347</v>
      </c>
      <c r="C49" s="64" t="s">
        <v>348</v>
      </c>
      <c r="D49" s="64"/>
      <c r="E49" s="64"/>
      <c r="F49" s="64"/>
      <c r="G49" s="14">
        <v>0</v>
      </c>
      <c r="H49" s="14">
        <v>0</v>
      </c>
      <c r="I49" s="14">
        <v>0</v>
      </c>
      <c r="J49" s="14">
        <v>0</v>
      </c>
      <c r="K49" s="9" t="s">
        <v>349</v>
      </c>
      <c r="L49" s="840" t="s">
        <v>350</v>
      </c>
      <c r="M49" s="841"/>
      <c r="N49" s="841"/>
      <c r="O49" s="842"/>
      <c r="P49" s="14">
        <v>2794</v>
      </c>
      <c r="Q49" s="14">
        <f t="shared" ref="Q49:Q51" si="16">P49-R49</f>
        <v>2794</v>
      </c>
      <c r="R49" s="14">
        <v>0</v>
      </c>
      <c r="S49" s="14">
        <v>0</v>
      </c>
    </row>
    <row r="50" spans="1:19">
      <c r="A50" s="9">
        <v>41</v>
      </c>
      <c r="B50" s="147" t="s">
        <v>355</v>
      </c>
      <c r="C50" s="64" t="s">
        <v>356</v>
      </c>
      <c r="D50" s="64"/>
      <c r="E50" s="64"/>
      <c r="F50" s="64"/>
      <c r="G50" s="14">
        <v>0</v>
      </c>
      <c r="H50" s="14">
        <v>0</v>
      </c>
      <c r="I50" s="14">
        <v>0</v>
      </c>
      <c r="J50" s="14">
        <v>0</v>
      </c>
      <c r="K50" s="9" t="s">
        <v>353</v>
      </c>
      <c r="L50" s="840" t="s">
        <v>354</v>
      </c>
      <c r="M50" s="841"/>
      <c r="N50" s="841"/>
      <c r="O50" s="842"/>
      <c r="P50" s="14">
        <v>0</v>
      </c>
      <c r="Q50" s="14">
        <f t="shared" si="16"/>
        <v>0</v>
      </c>
      <c r="R50" s="14">
        <v>0</v>
      </c>
      <c r="S50" s="14">
        <v>0</v>
      </c>
    </row>
    <row r="51" spans="1:19">
      <c r="A51" s="9">
        <v>42</v>
      </c>
      <c r="B51" s="147" t="s">
        <v>359</v>
      </c>
      <c r="C51" s="833" t="s">
        <v>360</v>
      </c>
      <c r="D51" s="833"/>
      <c r="E51" s="833"/>
      <c r="F51" s="833"/>
      <c r="G51" s="14">
        <v>0</v>
      </c>
      <c r="H51" s="14">
        <v>0</v>
      </c>
      <c r="I51" s="14">
        <v>0</v>
      </c>
      <c r="J51" s="14">
        <v>0</v>
      </c>
      <c r="K51" s="9" t="s">
        <v>357</v>
      </c>
      <c r="L51" s="840" t="s">
        <v>358</v>
      </c>
      <c r="M51" s="841"/>
      <c r="N51" s="841"/>
      <c r="O51" s="842"/>
      <c r="P51" s="14">
        <v>0</v>
      </c>
      <c r="Q51" s="14">
        <f t="shared" si="16"/>
        <v>0</v>
      </c>
      <c r="R51" s="14">
        <v>0</v>
      </c>
      <c r="S51" s="14">
        <v>0</v>
      </c>
    </row>
    <row r="52" spans="1:19">
      <c r="A52" s="9">
        <v>43</v>
      </c>
      <c r="B52" s="816" t="s">
        <v>361</v>
      </c>
      <c r="C52" s="816"/>
      <c r="D52" s="816"/>
      <c r="E52" s="816"/>
      <c r="F52" s="817"/>
      <c r="G52" s="48">
        <f>SUM(G49:G51)</f>
        <v>0</v>
      </c>
      <c r="H52" s="48">
        <f>SUM(H49:H51)</f>
        <v>0</v>
      </c>
      <c r="I52" s="48">
        <f>SUM(I49:I51)</f>
        <v>0</v>
      </c>
      <c r="J52" s="48">
        <f>SUM(J49:J51)</f>
        <v>0</v>
      </c>
      <c r="K52" s="815" t="s">
        <v>362</v>
      </c>
      <c r="L52" s="816"/>
      <c r="M52" s="816"/>
      <c r="N52" s="816"/>
      <c r="O52" s="817"/>
      <c r="P52" s="48">
        <f>SUM(P49:P51)</f>
        <v>2794</v>
      </c>
      <c r="Q52" s="48">
        <f>SUM(Q49:Q51)</f>
        <v>2794</v>
      </c>
      <c r="R52" s="48">
        <f>SUM(R49:R51)</f>
        <v>0</v>
      </c>
      <c r="S52" s="48">
        <f>SUM(S49:S51)</f>
        <v>0</v>
      </c>
    </row>
    <row r="53" spans="1:19">
      <c r="A53" s="9">
        <v>44</v>
      </c>
      <c r="B53" s="147"/>
      <c r="C53" s="815" t="s">
        <v>363</v>
      </c>
      <c r="D53" s="816"/>
      <c r="E53" s="816"/>
      <c r="F53" s="817"/>
      <c r="G53" s="48">
        <f>G52+G48</f>
        <v>0</v>
      </c>
      <c r="H53" s="48">
        <f>H52+H48</f>
        <v>0</v>
      </c>
      <c r="I53" s="48">
        <f>I52+I48</f>
        <v>0</v>
      </c>
      <c r="J53" s="48">
        <f>J52+J48</f>
        <v>0</v>
      </c>
      <c r="K53" s="9"/>
      <c r="L53" s="815" t="s">
        <v>364</v>
      </c>
      <c r="M53" s="816"/>
      <c r="N53" s="816"/>
      <c r="O53" s="817"/>
      <c r="P53" s="48">
        <f>P52+P48</f>
        <v>734429</v>
      </c>
      <c r="Q53" s="48">
        <f>P53-R53</f>
        <v>734429</v>
      </c>
      <c r="R53" s="48">
        <f>R52+R48</f>
        <v>0</v>
      </c>
      <c r="S53" s="48">
        <f>S52+S48</f>
        <v>0</v>
      </c>
    </row>
    <row r="54" spans="1:19">
      <c r="A54" s="9">
        <v>45</v>
      </c>
      <c r="B54" s="147" t="s">
        <v>368</v>
      </c>
      <c r="C54" s="815" t="s">
        <v>369</v>
      </c>
      <c r="D54" s="816"/>
      <c r="E54" s="816"/>
      <c r="F54" s="817"/>
      <c r="G54" s="48">
        <v>0</v>
      </c>
      <c r="H54" s="48">
        <v>0</v>
      </c>
      <c r="I54" s="14">
        <v>0</v>
      </c>
      <c r="J54" s="14">
        <v>0</v>
      </c>
      <c r="K54" s="9" t="s">
        <v>370</v>
      </c>
      <c r="L54" s="815" t="s">
        <v>371</v>
      </c>
      <c r="M54" s="816"/>
      <c r="N54" s="816"/>
      <c r="O54" s="817"/>
      <c r="P54" s="48">
        <v>0</v>
      </c>
      <c r="Q54" s="48">
        <v>0</v>
      </c>
      <c r="R54" s="48">
        <v>0</v>
      </c>
      <c r="S54" s="48">
        <v>0</v>
      </c>
    </row>
    <row r="55" spans="1:19">
      <c r="A55" s="9">
        <v>46</v>
      </c>
      <c r="B55" s="147" t="s">
        <v>374</v>
      </c>
      <c r="C55" s="815" t="s">
        <v>375</v>
      </c>
      <c r="D55" s="816"/>
      <c r="E55" s="816"/>
      <c r="F55" s="817"/>
      <c r="G55" s="48">
        <v>734429</v>
      </c>
      <c r="H55" s="48">
        <v>734429</v>
      </c>
      <c r="I55" s="14">
        <v>0</v>
      </c>
      <c r="J55" s="14">
        <v>0</v>
      </c>
      <c r="K55" s="9"/>
      <c r="L55" s="151"/>
      <c r="M55" s="152"/>
      <c r="N55" s="152"/>
      <c r="O55" s="150"/>
      <c r="P55" s="48"/>
      <c r="Q55" s="48"/>
      <c r="R55" s="48"/>
      <c r="S55" s="48"/>
    </row>
    <row r="56" spans="1:19">
      <c r="A56" s="9">
        <v>47</v>
      </c>
      <c r="B56" s="148"/>
      <c r="C56" s="824" t="s">
        <v>372</v>
      </c>
      <c r="D56" s="825"/>
      <c r="E56" s="825"/>
      <c r="F56" s="826"/>
      <c r="G56" s="584">
        <f>G55+G54+G53</f>
        <v>734429</v>
      </c>
      <c r="H56" s="584">
        <f>H55+H54+H53</f>
        <v>734429</v>
      </c>
      <c r="I56" s="584">
        <f t="shared" ref="I56:J56" si="17">I55+I54+I53</f>
        <v>0</v>
      </c>
      <c r="J56" s="584">
        <f t="shared" si="17"/>
        <v>0</v>
      </c>
      <c r="K56" s="110"/>
      <c r="L56" s="824" t="s">
        <v>373</v>
      </c>
      <c r="M56" s="825"/>
      <c r="N56" s="825"/>
      <c r="O56" s="826"/>
      <c r="P56" s="584">
        <f>P54+P53</f>
        <v>734429</v>
      </c>
      <c r="Q56" s="584">
        <f>Q54+Q53</f>
        <v>734429</v>
      </c>
      <c r="R56" s="584">
        <f t="shared" ref="R56:S56" si="18">R54+R53</f>
        <v>0</v>
      </c>
      <c r="S56" s="584">
        <f t="shared" si="18"/>
        <v>0</v>
      </c>
    </row>
    <row r="57" spans="1:19" ht="31.5" customHeight="1">
      <c r="A57" s="9">
        <v>48</v>
      </c>
      <c r="B57" s="838" t="s">
        <v>69</v>
      </c>
      <c r="C57" s="838"/>
      <c r="D57" s="838"/>
      <c r="E57" s="838"/>
      <c r="F57" s="838"/>
      <c r="G57" s="838"/>
      <c r="H57" s="838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</row>
    <row r="58" spans="1:19">
      <c r="A58" s="9">
        <v>49</v>
      </c>
      <c r="B58" s="147" t="s">
        <v>325</v>
      </c>
      <c r="C58" s="9" t="s">
        <v>326</v>
      </c>
      <c r="D58" s="9"/>
      <c r="E58" s="9"/>
      <c r="F58" s="9"/>
      <c r="G58" s="14">
        <v>0</v>
      </c>
      <c r="H58" s="14">
        <f t="shared" ref="H58:H63" si="19">G58-I58</f>
        <v>0</v>
      </c>
      <c r="I58" s="14">
        <v>0</v>
      </c>
      <c r="J58" s="14">
        <v>0</v>
      </c>
      <c r="K58" s="14" t="s">
        <v>327</v>
      </c>
      <c r="L58" s="830" t="s">
        <v>328</v>
      </c>
      <c r="M58" s="831"/>
      <c r="N58" s="831"/>
      <c r="O58" s="832"/>
      <c r="P58" s="14">
        <v>82507</v>
      </c>
      <c r="Q58" s="14">
        <f>P58</f>
        <v>82507</v>
      </c>
      <c r="R58" s="14">
        <v>0</v>
      </c>
      <c r="S58" s="14">
        <v>0</v>
      </c>
    </row>
    <row r="59" spans="1:19">
      <c r="A59" s="9">
        <v>50</v>
      </c>
      <c r="B59" s="147" t="s">
        <v>329</v>
      </c>
      <c r="C59" s="833" t="s">
        <v>330</v>
      </c>
      <c r="D59" s="833"/>
      <c r="E59" s="833"/>
      <c r="F59" s="833"/>
      <c r="G59" s="14">
        <v>0</v>
      </c>
      <c r="H59" s="14">
        <f t="shared" si="19"/>
        <v>0</v>
      </c>
      <c r="I59" s="14">
        <v>0</v>
      </c>
      <c r="J59" s="14">
        <v>0</v>
      </c>
      <c r="K59" s="14" t="s">
        <v>331</v>
      </c>
      <c r="L59" s="839" t="s">
        <v>332</v>
      </c>
      <c r="M59" s="839"/>
      <c r="N59" s="839"/>
      <c r="O59" s="839"/>
      <c r="P59" s="14">
        <v>10294</v>
      </c>
      <c r="Q59" s="14">
        <f t="shared" ref="Q59:Q63" si="20">P59</f>
        <v>10294</v>
      </c>
      <c r="R59" s="14">
        <v>0</v>
      </c>
      <c r="S59" s="14">
        <v>0</v>
      </c>
    </row>
    <row r="60" spans="1:19">
      <c r="A60" s="9">
        <v>51</v>
      </c>
      <c r="B60" s="147" t="s">
        <v>333</v>
      </c>
      <c r="C60" s="833" t="s">
        <v>334</v>
      </c>
      <c r="D60" s="833"/>
      <c r="E60" s="833"/>
      <c r="F60" s="833"/>
      <c r="G60" s="14">
        <v>4200</v>
      </c>
      <c r="H60" s="14">
        <f t="shared" si="19"/>
        <v>4200</v>
      </c>
      <c r="I60" s="14">
        <v>0</v>
      </c>
      <c r="J60" s="14">
        <v>0</v>
      </c>
      <c r="K60" s="14" t="s">
        <v>335</v>
      </c>
      <c r="L60" s="830" t="s">
        <v>336</v>
      </c>
      <c r="M60" s="831"/>
      <c r="N60" s="831"/>
      <c r="O60" s="832"/>
      <c r="P60" s="14">
        <v>40596</v>
      </c>
      <c r="Q60" s="14">
        <f t="shared" si="20"/>
        <v>40596</v>
      </c>
      <c r="R60" s="14">
        <v>0</v>
      </c>
      <c r="S60" s="14">
        <v>0</v>
      </c>
    </row>
    <row r="61" spans="1:19">
      <c r="A61" s="9">
        <v>52</v>
      </c>
      <c r="B61" s="147" t="s">
        <v>337</v>
      </c>
      <c r="C61" s="64" t="s">
        <v>338</v>
      </c>
      <c r="D61" s="64"/>
      <c r="E61" s="64"/>
      <c r="F61" s="64"/>
      <c r="G61" s="14">
        <v>0</v>
      </c>
      <c r="H61" s="14">
        <f t="shared" si="19"/>
        <v>0</v>
      </c>
      <c r="I61" s="14">
        <v>0</v>
      </c>
      <c r="J61" s="14">
        <v>0</v>
      </c>
      <c r="K61" s="14" t="s">
        <v>339</v>
      </c>
      <c r="L61" s="830" t="s">
        <v>340</v>
      </c>
      <c r="M61" s="831"/>
      <c r="N61" s="831"/>
      <c r="O61" s="832"/>
      <c r="P61" s="14">
        <v>0</v>
      </c>
      <c r="Q61" s="14">
        <f t="shared" si="20"/>
        <v>0</v>
      </c>
      <c r="R61" s="14">
        <v>0</v>
      </c>
      <c r="S61" s="14">
        <v>0</v>
      </c>
    </row>
    <row r="62" spans="1:19">
      <c r="A62" s="9">
        <v>53</v>
      </c>
      <c r="B62" s="147" t="s">
        <v>351</v>
      </c>
      <c r="C62" s="833" t="s">
        <v>352</v>
      </c>
      <c r="D62" s="833"/>
      <c r="E62" s="833"/>
      <c r="F62" s="833"/>
      <c r="G62" s="14">
        <v>0</v>
      </c>
      <c r="H62" s="14">
        <f t="shared" si="19"/>
        <v>0</v>
      </c>
      <c r="I62" s="14">
        <v>0</v>
      </c>
      <c r="J62" s="14">
        <v>0</v>
      </c>
      <c r="K62" s="14" t="s">
        <v>341</v>
      </c>
      <c r="L62" s="830" t="s">
        <v>342</v>
      </c>
      <c r="M62" s="831"/>
      <c r="N62" s="831"/>
      <c r="O62" s="832"/>
      <c r="P62" s="14">
        <v>0</v>
      </c>
      <c r="Q62" s="14">
        <f t="shared" si="20"/>
        <v>0</v>
      </c>
      <c r="R62" s="14">
        <v>0</v>
      </c>
      <c r="S62" s="14">
        <v>0</v>
      </c>
    </row>
    <row r="63" spans="1:19">
      <c r="A63" s="9">
        <v>54</v>
      </c>
      <c r="B63" s="843"/>
      <c r="C63" s="844"/>
      <c r="D63" s="844"/>
      <c r="E63" s="844"/>
      <c r="F63" s="845"/>
      <c r="G63" s="14"/>
      <c r="H63" s="14">
        <f t="shared" si="19"/>
        <v>0</v>
      </c>
      <c r="I63" s="14"/>
      <c r="J63" s="14"/>
      <c r="K63" s="14" t="s">
        <v>343</v>
      </c>
      <c r="L63" s="830" t="s">
        <v>344</v>
      </c>
      <c r="M63" s="831"/>
      <c r="N63" s="831"/>
      <c r="O63" s="832"/>
      <c r="P63" s="14">
        <v>0</v>
      </c>
      <c r="Q63" s="14">
        <f t="shared" si="20"/>
        <v>0</v>
      </c>
      <c r="R63" s="14">
        <v>0</v>
      </c>
      <c r="S63" s="14">
        <v>0</v>
      </c>
    </row>
    <row r="64" spans="1:19">
      <c r="A64" s="9">
        <v>55</v>
      </c>
      <c r="B64" s="817" t="s">
        <v>345</v>
      </c>
      <c r="C64" s="837"/>
      <c r="D64" s="837"/>
      <c r="E64" s="837"/>
      <c r="F64" s="837"/>
      <c r="G64" s="48">
        <f>SUM(G58:G63)</f>
        <v>4200</v>
      </c>
      <c r="H64" s="48">
        <f>SUM(H58:H63)</f>
        <v>4200</v>
      </c>
      <c r="I64" s="48">
        <f>SUM(I58:I63)</f>
        <v>0</v>
      </c>
      <c r="J64" s="48">
        <f>SUM(J58:J63)</f>
        <v>0</v>
      </c>
      <c r="K64" s="818" t="s">
        <v>346</v>
      </c>
      <c r="L64" s="819"/>
      <c r="M64" s="819"/>
      <c r="N64" s="819"/>
      <c r="O64" s="820"/>
      <c r="P64" s="48">
        <f>SUM(P58:P63)</f>
        <v>133397</v>
      </c>
      <c r="Q64" s="48">
        <f>SUM(Q58:Q63)</f>
        <v>133397</v>
      </c>
      <c r="R64" s="14">
        <v>0</v>
      </c>
      <c r="S64" s="14">
        <v>0</v>
      </c>
    </row>
    <row r="65" spans="1:19">
      <c r="A65" s="9">
        <v>56</v>
      </c>
      <c r="B65" s="147" t="s">
        <v>347</v>
      </c>
      <c r="C65" s="64" t="s">
        <v>348</v>
      </c>
      <c r="D65" s="64"/>
      <c r="E65" s="64"/>
      <c r="F65" s="64"/>
      <c r="G65" s="14">
        <v>0</v>
      </c>
      <c r="H65" s="14">
        <f t="shared" ref="H65:H67" si="21">G65-I65</f>
        <v>0</v>
      </c>
      <c r="I65" s="14">
        <v>0</v>
      </c>
      <c r="J65" s="14">
        <v>0</v>
      </c>
      <c r="K65" s="14" t="s">
        <v>349</v>
      </c>
      <c r="L65" s="830" t="s">
        <v>350</v>
      </c>
      <c r="M65" s="831"/>
      <c r="N65" s="831"/>
      <c r="O65" s="832"/>
      <c r="P65" s="14">
        <v>4200</v>
      </c>
      <c r="Q65" s="14">
        <f>P65</f>
        <v>4200</v>
      </c>
      <c r="R65" s="14">
        <v>0</v>
      </c>
      <c r="S65" s="14">
        <v>0</v>
      </c>
    </row>
    <row r="66" spans="1:19">
      <c r="A66" s="9">
        <v>57</v>
      </c>
      <c r="B66" s="147" t="s">
        <v>355</v>
      </c>
      <c r="C66" s="64" t="s">
        <v>356</v>
      </c>
      <c r="D66" s="64"/>
      <c r="E66" s="64"/>
      <c r="F66" s="64"/>
      <c r="G66" s="14">
        <v>0</v>
      </c>
      <c r="H66" s="14">
        <f t="shared" si="21"/>
        <v>0</v>
      </c>
      <c r="I66" s="14">
        <v>0</v>
      </c>
      <c r="J66" s="14">
        <v>0</v>
      </c>
      <c r="K66" s="14" t="s">
        <v>353</v>
      </c>
      <c r="L66" s="830" t="s">
        <v>354</v>
      </c>
      <c r="M66" s="831"/>
      <c r="N66" s="831"/>
      <c r="O66" s="832"/>
      <c r="P66" s="14">
        <v>0</v>
      </c>
      <c r="Q66" s="14">
        <v>0</v>
      </c>
      <c r="R66" s="14">
        <v>0</v>
      </c>
      <c r="S66" s="14">
        <v>0</v>
      </c>
    </row>
    <row r="67" spans="1:19">
      <c r="A67" s="9">
        <v>58</v>
      </c>
      <c r="B67" s="147" t="s">
        <v>359</v>
      </c>
      <c r="C67" s="833" t="s">
        <v>360</v>
      </c>
      <c r="D67" s="833"/>
      <c r="E67" s="833"/>
      <c r="F67" s="833"/>
      <c r="G67" s="14">
        <v>0</v>
      </c>
      <c r="H67" s="14">
        <f t="shared" si="21"/>
        <v>0</v>
      </c>
      <c r="I67" s="14">
        <v>0</v>
      </c>
      <c r="J67" s="14">
        <v>0</v>
      </c>
      <c r="K67" s="14" t="s">
        <v>357</v>
      </c>
      <c r="L67" s="830" t="s">
        <v>358</v>
      </c>
      <c r="M67" s="831"/>
      <c r="N67" s="831"/>
      <c r="O67" s="832"/>
      <c r="P67" s="14">
        <v>0</v>
      </c>
      <c r="Q67" s="14">
        <v>0</v>
      </c>
      <c r="R67" s="14">
        <v>0</v>
      </c>
      <c r="S67" s="14">
        <v>0</v>
      </c>
    </row>
    <row r="68" spans="1:19">
      <c r="A68" s="9">
        <v>59</v>
      </c>
      <c r="B68" s="816" t="s">
        <v>361</v>
      </c>
      <c r="C68" s="816"/>
      <c r="D68" s="816"/>
      <c r="E68" s="816"/>
      <c r="F68" s="817"/>
      <c r="G68" s="48">
        <f>SUM(G65:G67)</f>
        <v>0</v>
      </c>
      <c r="H68" s="48">
        <f>SUM(H65:H67)</f>
        <v>0</v>
      </c>
      <c r="I68" s="48">
        <f>SUM(I65:I67)</f>
        <v>0</v>
      </c>
      <c r="J68" s="48">
        <f>SUM(J65:J67)</f>
        <v>0</v>
      </c>
      <c r="K68" s="818" t="s">
        <v>362</v>
      </c>
      <c r="L68" s="819"/>
      <c r="M68" s="819"/>
      <c r="N68" s="819"/>
      <c r="O68" s="820"/>
      <c r="P68" s="48">
        <f>SUM(P65:P67)</f>
        <v>4200</v>
      </c>
      <c r="Q68" s="48">
        <f>SUM(Q65:Q67)</f>
        <v>4200</v>
      </c>
      <c r="R68" s="48">
        <f>SUM(R65:R67)</f>
        <v>0</v>
      </c>
      <c r="S68" s="48">
        <f>SUM(S65:S67)</f>
        <v>0</v>
      </c>
    </row>
    <row r="69" spans="1:19">
      <c r="A69" s="9">
        <v>60</v>
      </c>
      <c r="B69" s="147"/>
      <c r="C69" s="815" t="s">
        <v>363</v>
      </c>
      <c r="D69" s="816"/>
      <c r="E69" s="816"/>
      <c r="F69" s="817"/>
      <c r="G69" s="48">
        <f>G68+G64</f>
        <v>4200</v>
      </c>
      <c r="H69" s="48">
        <f>H68+H64</f>
        <v>4200</v>
      </c>
      <c r="I69" s="48">
        <f>I68+I64</f>
        <v>0</v>
      </c>
      <c r="J69" s="48">
        <f>J68+J64</f>
        <v>0</v>
      </c>
      <c r="K69" s="14"/>
      <c r="L69" s="818" t="s">
        <v>364</v>
      </c>
      <c r="M69" s="819"/>
      <c r="N69" s="819"/>
      <c r="O69" s="820"/>
      <c r="P69" s="48">
        <f>P68+P64</f>
        <v>137597</v>
      </c>
      <c r="Q69" s="48">
        <f>Q68+Q64</f>
        <v>137597</v>
      </c>
      <c r="R69" s="48">
        <f>R68+R64</f>
        <v>0</v>
      </c>
      <c r="S69" s="48">
        <f>S68+S64</f>
        <v>0</v>
      </c>
    </row>
    <row r="70" spans="1:19">
      <c r="A70" s="9">
        <v>61</v>
      </c>
      <c r="B70" s="147" t="s">
        <v>368</v>
      </c>
      <c r="C70" s="815" t="s">
        <v>369</v>
      </c>
      <c r="D70" s="816"/>
      <c r="E70" s="816"/>
      <c r="F70" s="817"/>
      <c r="G70" s="48">
        <v>0</v>
      </c>
      <c r="H70" s="48">
        <v>0</v>
      </c>
      <c r="I70" s="14">
        <v>0</v>
      </c>
      <c r="J70" s="14">
        <v>0</v>
      </c>
      <c r="K70" s="14" t="s">
        <v>370</v>
      </c>
      <c r="L70" s="818" t="s">
        <v>371</v>
      </c>
      <c r="M70" s="819"/>
      <c r="N70" s="819"/>
      <c r="O70" s="820"/>
      <c r="P70" s="48">
        <v>0</v>
      </c>
      <c r="Q70" s="48">
        <v>0</v>
      </c>
      <c r="R70" s="48">
        <v>0</v>
      </c>
      <c r="S70" s="48">
        <v>0</v>
      </c>
    </row>
    <row r="71" spans="1:19">
      <c r="A71" s="9">
        <v>62</v>
      </c>
      <c r="B71" s="147" t="s">
        <v>374</v>
      </c>
      <c r="C71" s="815" t="s">
        <v>375</v>
      </c>
      <c r="D71" s="816"/>
      <c r="E71" s="816"/>
      <c r="F71" s="817"/>
      <c r="G71" s="48">
        <v>133397</v>
      </c>
      <c r="H71" s="14">
        <f t="shared" ref="H71" si="22">G71-I71</f>
        <v>133397</v>
      </c>
      <c r="I71" s="14">
        <v>0</v>
      </c>
      <c r="J71" s="14">
        <v>0</v>
      </c>
      <c r="K71" s="14"/>
      <c r="L71" s="518"/>
      <c r="M71" s="519"/>
      <c r="N71" s="519"/>
      <c r="O71" s="520"/>
      <c r="P71" s="48"/>
      <c r="Q71" s="48"/>
      <c r="R71" s="48"/>
      <c r="S71" s="48"/>
    </row>
    <row r="72" spans="1:19">
      <c r="A72" s="9">
        <v>63</v>
      </c>
      <c r="B72" s="148"/>
      <c r="C72" s="824" t="s">
        <v>372</v>
      </c>
      <c r="D72" s="825"/>
      <c r="E72" s="825"/>
      <c r="F72" s="826"/>
      <c r="G72" s="584">
        <f>G71+G70+G69</f>
        <v>137597</v>
      </c>
      <c r="H72" s="584">
        <f t="shared" ref="H72:J72" si="23">H71+H70+H69</f>
        <v>137597</v>
      </c>
      <c r="I72" s="584">
        <f t="shared" si="23"/>
        <v>0</v>
      </c>
      <c r="J72" s="584">
        <f t="shared" si="23"/>
        <v>0</v>
      </c>
      <c r="K72" s="517"/>
      <c r="L72" s="827" t="s">
        <v>373</v>
      </c>
      <c r="M72" s="828"/>
      <c r="N72" s="828"/>
      <c r="O72" s="829"/>
      <c r="P72" s="584">
        <f>P70+P69</f>
        <v>137597</v>
      </c>
      <c r="Q72" s="584">
        <f t="shared" ref="Q72:S72" si="24">Q70+Q69</f>
        <v>137597</v>
      </c>
      <c r="R72" s="584">
        <f t="shared" si="24"/>
        <v>0</v>
      </c>
      <c r="S72" s="584">
        <f t="shared" si="24"/>
        <v>0</v>
      </c>
    </row>
    <row r="73" spans="1:19" ht="30" customHeight="1">
      <c r="A73" s="9">
        <v>64</v>
      </c>
      <c r="B73" s="838" t="s">
        <v>97</v>
      </c>
      <c r="C73" s="838"/>
      <c r="D73" s="838"/>
      <c r="E73" s="838"/>
      <c r="F73" s="838"/>
      <c r="G73" s="838"/>
      <c r="H73" s="838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</row>
    <row r="74" spans="1:19">
      <c r="A74" s="9">
        <v>65</v>
      </c>
      <c r="B74" s="147" t="s">
        <v>325</v>
      </c>
      <c r="C74" s="9" t="s">
        <v>326</v>
      </c>
      <c r="D74" s="9"/>
      <c r="E74" s="9"/>
      <c r="F74" s="9"/>
      <c r="G74" s="14">
        <v>0</v>
      </c>
      <c r="H74" s="14">
        <f t="shared" ref="H74:H86" si="25">G74-I74</f>
        <v>0</v>
      </c>
      <c r="I74" s="14">
        <v>0</v>
      </c>
      <c r="J74" s="14">
        <v>0</v>
      </c>
      <c r="K74" s="14" t="s">
        <v>327</v>
      </c>
      <c r="L74" s="830" t="s">
        <v>328</v>
      </c>
      <c r="M74" s="831"/>
      <c r="N74" s="831"/>
      <c r="O74" s="832"/>
      <c r="P74" s="14" t="e">
        <f>#REF!</f>
        <v>#REF!</v>
      </c>
      <c r="Q74" s="14" t="e">
        <f>P74-R74</f>
        <v>#REF!</v>
      </c>
      <c r="R74" s="14">
        <v>117500</v>
      </c>
      <c r="S74" s="14">
        <v>0</v>
      </c>
    </row>
    <row r="75" spans="1:19">
      <c r="A75" s="9">
        <v>66</v>
      </c>
      <c r="B75" s="147" t="s">
        <v>329</v>
      </c>
      <c r="C75" s="833" t="s">
        <v>330</v>
      </c>
      <c r="D75" s="833"/>
      <c r="E75" s="833"/>
      <c r="F75" s="833"/>
      <c r="G75" s="14" t="e">
        <f>#REF!</f>
        <v>#REF!</v>
      </c>
      <c r="H75" s="14" t="e">
        <f t="shared" si="25"/>
        <v>#REF!</v>
      </c>
      <c r="I75" s="14">
        <v>0</v>
      </c>
      <c r="J75" s="14">
        <v>0</v>
      </c>
      <c r="K75" s="14" t="s">
        <v>331</v>
      </c>
      <c r="L75" s="839" t="s">
        <v>332</v>
      </c>
      <c r="M75" s="839"/>
      <c r="N75" s="839"/>
      <c r="O75" s="839"/>
      <c r="P75" s="14" t="e">
        <f>#REF!</f>
        <v>#REF!</v>
      </c>
      <c r="Q75" s="14" t="e">
        <f t="shared" ref="Q75:Q79" si="26">P75-R75</f>
        <v>#REF!</v>
      </c>
      <c r="R75" s="14">
        <v>15275</v>
      </c>
      <c r="S75" s="14">
        <v>0</v>
      </c>
    </row>
    <row r="76" spans="1:19">
      <c r="A76" s="9">
        <v>67</v>
      </c>
      <c r="B76" s="147" t="s">
        <v>333</v>
      </c>
      <c r="C76" s="833" t="s">
        <v>334</v>
      </c>
      <c r="D76" s="833"/>
      <c r="E76" s="833"/>
      <c r="F76" s="833"/>
      <c r="G76" s="14" t="e">
        <f>#REF!</f>
        <v>#REF!</v>
      </c>
      <c r="H76" s="14" t="e">
        <f t="shared" si="25"/>
        <v>#REF!</v>
      </c>
      <c r="I76" s="14">
        <v>30175</v>
      </c>
      <c r="J76" s="14">
        <v>0</v>
      </c>
      <c r="K76" s="14" t="s">
        <v>335</v>
      </c>
      <c r="L76" s="830" t="s">
        <v>336</v>
      </c>
      <c r="M76" s="831"/>
      <c r="N76" s="831"/>
      <c r="O76" s="832"/>
      <c r="P76" s="14" t="e">
        <f>#REF!</f>
        <v>#REF!</v>
      </c>
      <c r="Q76" s="14" t="e">
        <f t="shared" si="26"/>
        <v>#REF!</v>
      </c>
      <c r="R76" s="14">
        <v>43200</v>
      </c>
      <c r="S76" s="14">
        <v>0</v>
      </c>
    </row>
    <row r="77" spans="1:19">
      <c r="A77" s="9">
        <v>68</v>
      </c>
      <c r="B77" s="147" t="s">
        <v>337</v>
      </c>
      <c r="C77" s="64" t="s">
        <v>338</v>
      </c>
      <c r="D77" s="64"/>
      <c r="E77" s="64"/>
      <c r="F77" s="64"/>
      <c r="G77" s="14">
        <v>0</v>
      </c>
      <c r="H77" s="14">
        <f t="shared" si="25"/>
        <v>0</v>
      </c>
      <c r="I77" s="14">
        <v>0</v>
      </c>
      <c r="J77" s="14">
        <v>0</v>
      </c>
      <c r="K77" s="14" t="s">
        <v>339</v>
      </c>
      <c r="L77" s="830" t="s">
        <v>340</v>
      </c>
      <c r="M77" s="831"/>
      <c r="N77" s="831"/>
      <c r="O77" s="832"/>
      <c r="P77" s="14">
        <f>[4]Kiadások!F125</f>
        <v>0</v>
      </c>
      <c r="Q77" s="14">
        <f t="shared" si="26"/>
        <v>0</v>
      </c>
      <c r="R77" s="14">
        <v>0</v>
      </c>
      <c r="S77" s="14">
        <v>0</v>
      </c>
    </row>
    <row r="78" spans="1:19">
      <c r="A78" s="9">
        <v>69</v>
      </c>
      <c r="B78" s="147" t="s">
        <v>351</v>
      </c>
      <c r="C78" s="833" t="s">
        <v>352</v>
      </c>
      <c r="D78" s="833"/>
      <c r="E78" s="833"/>
      <c r="F78" s="833"/>
      <c r="G78" s="14">
        <v>0</v>
      </c>
      <c r="H78" s="14">
        <f t="shared" ref="H78" si="27">G78-I78</f>
        <v>0</v>
      </c>
      <c r="I78" s="14">
        <v>0</v>
      </c>
      <c r="J78" s="14">
        <v>0</v>
      </c>
      <c r="K78" s="14" t="s">
        <v>341</v>
      </c>
      <c r="L78" s="830" t="s">
        <v>342</v>
      </c>
      <c r="M78" s="831"/>
      <c r="N78" s="831"/>
      <c r="O78" s="832"/>
      <c r="P78" s="14">
        <v>0</v>
      </c>
      <c r="Q78" s="14">
        <f t="shared" si="26"/>
        <v>0</v>
      </c>
      <c r="R78" s="14">
        <v>0</v>
      </c>
      <c r="S78" s="14">
        <v>0</v>
      </c>
    </row>
    <row r="79" spans="1:19">
      <c r="A79" s="9">
        <v>70</v>
      </c>
      <c r="B79" s="147"/>
      <c r="C79" s="840"/>
      <c r="D79" s="841"/>
      <c r="E79" s="841"/>
      <c r="F79" s="842"/>
      <c r="G79" s="14"/>
      <c r="H79" s="14"/>
      <c r="I79" s="14"/>
      <c r="J79" s="14"/>
      <c r="K79" s="14" t="s">
        <v>343</v>
      </c>
      <c r="L79" s="830" t="s">
        <v>344</v>
      </c>
      <c r="M79" s="831"/>
      <c r="N79" s="831"/>
      <c r="O79" s="832"/>
      <c r="P79" s="14">
        <v>0</v>
      </c>
      <c r="Q79" s="14">
        <f t="shared" si="26"/>
        <v>0</v>
      </c>
      <c r="R79" s="14">
        <v>0</v>
      </c>
      <c r="S79" s="14">
        <v>0</v>
      </c>
    </row>
    <row r="80" spans="1:19">
      <c r="A80" s="9">
        <v>71</v>
      </c>
      <c r="B80" s="817" t="s">
        <v>345</v>
      </c>
      <c r="C80" s="837"/>
      <c r="D80" s="837"/>
      <c r="E80" s="837"/>
      <c r="F80" s="837"/>
      <c r="G80" s="48" t="e">
        <f>SUM(G74:G79)</f>
        <v>#REF!</v>
      </c>
      <c r="H80" s="48" t="e">
        <f>SUM(H74:H79)</f>
        <v>#REF!</v>
      </c>
      <c r="I80" s="48">
        <f>SUM(I74:I79)</f>
        <v>30175</v>
      </c>
      <c r="J80" s="48">
        <f>SUM(J74:J79)</f>
        <v>0</v>
      </c>
      <c r="K80" s="818" t="s">
        <v>346</v>
      </c>
      <c r="L80" s="819"/>
      <c r="M80" s="819"/>
      <c r="N80" s="819"/>
      <c r="O80" s="820"/>
      <c r="P80" s="48" t="e">
        <f>SUM(P74:P79)</f>
        <v>#REF!</v>
      </c>
      <c r="Q80" s="48" t="e">
        <f>SUM(Q74:Q79)</f>
        <v>#REF!</v>
      </c>
      <c r="R80" s="48">
        <f>SUM(R74:R79)</f>
        <v>175975</v>
      </c>
      <c r="S80" s="48">
        <f t="shared" ref="S80" si="28">SUM(S74:S79)</f>
        <v>0</v>
      </c>
    </row>
    <row r="81" spans="1:22">
      <c r="A81" s="9">
        <v>72</v>
      </c>
      <c r="B81" s="147" t="s">
        <v>347</v>
      </c>
      <c r="C81" s="64" t="s">
        <v>348</v>
      </c>
      <c r="D81" s="64"/>
      <c r="E81" s="64"/>
      <c r="F81" s="64"/>
      <c r="G81" s="14">
        <v>0</v>
      </c>
      <c r="H81" s="14">
        <f t="shared" si="25"/>
        <v>0</v>
      </c>
      <c r="I81" s="14">
        <v>0</v>
      </c>
      <c r="J81" s="14">
        <v>0</v>
      </c>
      <c r="K81" s="14" t="s">
        <v>349</v>
      </c>
      <c r="L81" s="830" t="s">
        <v>350</v>
      </c>
      <c r="M81" s="831"/>
      <c r="N81" s="831"/>
      <c r="O81" s="832"/>
      <c r="P81" s="14" t="e">
        <f>#REF!</f>
        <v>#REF!</v>
      </c>
      <c r="Q81" s="14" t="e">
        <f>P81-R81</f>
        <v>#REF!</v>
      </c>
      <c r="R81" s="14">
        <v>8343</v>
      </c>
      <c r="S81" s="14">
        <v>0</v>
      </c>
    </row>
    <row r="82" spans="1:22">
      <c r="A82" s="9">
        <v>73</v>
      </c>
      <c r="B82" s="147" t="s">
        <v>355</v>
      </c>
      <c r="C82" s="64" t="s">
        <v>356</v>
      </c>
      <c r="D82" s="64"/>
      <c r="E82" s="64"/>
      <c r="F82" s="64"/>
      <c r="G82" s="14">
        <v>0</v>
      </c>
      <c r="H82" s="14">
        <f t="shared" ref="H82:H83" si="29">G82-I82</f>
        <v>0</v>
      </c>
      <c r="I82" s="14">
        <v>0</v>
      </c>
      <c r="J82" s="14">
        <v>0</v>
      </c>
      <c r="K82" s="14" t="s">
        <v>353</v>
      </c>
      <c r="L82" s="830" t="s">
        <v>354</v>
      </c>
      <c r="M82" s="831"/>
      <c r="N82" s="831"/>
      <c r="O82" s="832"/>
      <c r="P82" s="14" t="e">
        <f>#REF!</f>
        <v>#REF!</v>
      </c>
      <c r="Q82" s="14" t="e">
        <f>P82-R82</f>
        <v>#REF!</v>
      </c>
      <c r="R82" s="14">
        <v>520</v>
      </c>
      <c r="S82" s="14">
        <v>0</v>
      </c>
    </row>
    <row r="83" spans="1:22">
      <c r="A83" s="9">
        <v>74</v>
      </c>
      <c r="B83" s="147" t="s">
        <v>359</v>
      </c>
      <c r="C83" s="833" t="s">
        <v>360</v>
      </c>
      <c r="D83" s="833"/>
      <c r="E83" s="833"/>
      <c r="F83" s="833"/>
      <c r="G83" s="14">
        <v>0</v>
      </c>
      <c r="H83" s="14">
        <f t="shared" si="29"/>
        <v>0</v>
      </c>
      <c r="I83" s="14">
        <v>0</v>
      </c>
      <c r="J83" s="14">
        <v>0</v>
      </c>
      <c r="K83" s="14" t="s">
        <v>357</v>
      </c>
      <c r="L83" s="830" t="s">
        <v>358</v>
      </c>
      <c r="M83" s="831"/>
      <c r="N83" s="831"/>
      <c r="O83" s="832"/>
      <c r="P83" s="14">
        <v>0</v>
      </c>
      <c r="Q83" s="14">
        <v>0</v>
      </c>
      <c r="R83" s="14">
        <v>0</v>
      </c>
      <c r="S83" s="14">
        <v>0</v>
      </c>
    </row>
    <row r="84" spans="1:22">
      <c r="A84" s="9">
        <v>75</v>
      </c>
      <c r="B84" s="816" t="s">
        <v>361</v>
      </c>
      <c r="C84" s="816"/>
      <c r="D84" s="816"/>
      <c r="E84" s="816"/>
      <c r="F84" s="817"/>
      <c r="G84" s="48">
        <f>SUM(G81:G83)</f>
        <v>0</v>
      </c>
      <c r="H84" s="14">
        <f t="shared" si="25"/>
        <v>0</v>
      </c>
      <c r="I84" s="48">
        <f>SUM(I81:I83)</f>
        <v>0</v>
      </c>
      <c r="J84" s="48">
        <f>SUM(J81:J83)</f>
        <v>0</v>
      </c>
      <c r="K84" s="818" t="s">
        <v>362</v>
      </c>
      <c r="L84" s="819"/>
      <c r="M84" s="819"/>
      <c r="N84" s="819"/>
      <c r="O84" s="820"/>
      <c r="P84" s="48" t="e">
        <f>SUM(P81:P83)</f>
        <v>#REF!</v>
      </c>
      <c r="Q84" s="48" t="e">
        <f>SUM(Q81:Q83)</f>
        <v>#REF!</v>
      </c>
      <c r="R84" s="48">
        <f>SUM(R81:R83)</f>
        <v>8863</v>
      </c>
      <c r="S84" s="48">
        <f>SUM(S81:S83)</f>
        <v>0</v>
      </c>
    </row>
    <row r="85" spans="1:22">
      <c r="A85" s="9">
        <v>76</v>
      </c>
      <c r="B85" s="147"/>
      <c r="C85" s="815" t="s">
        <v>363</v>
      </c>
      <c r="D85" s="816"/>
      <c r="E85" s="816"/>
      <c r="F85" s="817"/>
      <c r="G85" s="48" t="e">
        <f>G84+G80</f>
        <v>#REF!</v>
      </c>
      <c r="H85" s="48" t="e">
        <f t="shared" si="25"/>
        <v>#REF!</v>
      </c>
      <c r="I85" s="48">
        <f>I84+I80</f>
        <v>30175</v>
      </c>
      <c r="J85" s="48">
        <f>J84+J80</f>
        <v>0</v>
      </c>
      <c r="K85" s="14"/>
      <c r="L85" s="818" t="s">
        <v>364</v>
      </c>
      <c r="M85" s="819"/>
      <c r="N85" s="819"/>
      <c r="O85" s="820"/>
      <c r="P85" s="48" t="e">
        <f>P84+P80</f>
        <v>#REF!</v>
      </c>
      <c r="Q85" s="48" t="e">
        <f>Q84+Q80</f>
        <v>#REF!</v>
      </c>
      <c r="R85" s="48">
        <f>R84+R80</f>
        <v>184838</v>
      </c>
      <c r="S85" s="48">
        <f>S84+S80</f>
        <v>0</v>
      </c>
    </row>
    <row r="86" spans="1:22">
      <c r="A86" s="9">
        <v>77</v>
      </c>
      <c r="B86" s="147" t="s">
        <v>368</v>
      </c>
      <c r="C86" s="815" t="s">
        <v>369</v>
      </c>
      <c r="D86" s="816"/>
      <c r="E86" s="816"/>
      <c r="F86" s="817"/>
      <c r="G86" s="48">
        <v>0</v>
      </c>
      <c r="H86" s="48">
        <f t="shared" si="25"/>
        <v>0</v>
      </c>
      <c r="I86" s="14">
        <v>0</v>
      </c>
      <c r="J86" s="14">
        <v>0</v>
      </c>
      <c r="K86" s="14" t="s">
        <v>370</v>
      </c>
      <c r="L86" s="818" t="s">
        <v>371</v>
      </c>
      <c r="M86" s="819"/>
      <c r="N86" s="819"/>
      <c r="O86" s="820"/>
      <c r="P86" s="48">
        <v>0</v>
      </c>
      <c r="Q86" s="48">
        <v>0</v>
      </c>
      <c r="R86" s="48">
        <v>0</v>
      </c>
      <c r="S86" s="48">
        <v>0</v>
      </c>
    </row>
    <row r="87" spans="1:22">
      <c r="A87" s="9">
        <v>78</v>
      </c>
      <c r="B87" s="147" t="s">
        <v>374</v>
      </c>
      <c r="C87" s="815" t="s">
        <v>375</v>
      </c>
      <c r="D87" s="816"/>
      <c r="E87" s="816"/>
      <c r="F87" s="817"/>
      <c r="G87" s="48" t="e">
        <f>#REF!</f>
        <v>#REF!</v>
      </c>
      <c r="H87" s="48" t="e">
        <f>G87-I87</f>
        <v>#REF!</v>
      </c>
      <c r="I87" s="48">
        <v>154663</v>
      </c>
      <c r="J87" s="48">
        <v>0</v>
      </c>
      <c r="K87" s="14"/>
      <c r="L87" s="518"/>
      <c r="M87" s="519"/>
      <c r="N87" s="519"/>
      <c r="O87" s="520"/>
      <c r="P87" s="48"/>
      <c r="Q87" s="48"/>
      <c r="R87" s="48"/>
      <c r="S87" s="48"/>
      <c r="V87" s="41">
        <f>R88-I88</f>
        <v>0</v>
      </c>
    </row>
    <row r="88" spans="1:22" ht="27.75" customHeight="1">
      <c r="A88" s="9">
        <v>79</v>
      </c>
      <c r="B88" s="148"/>
      <c r="C88" s="824" t="s">
        <v>372</v>
      </c>
      <c r="D88" s="825"/>
      <c r="E88" s="825"/>
      <c r="F88" s="826"/>
      <c r="G88" s="584" t="e">
        <f>G87+G86+G85</f>
        <v>#REF!</v>
      </c>
      <c r="H88" s="584" t="e">
        <f>H87+H86+H85</f>
        <v>#REF!</v>
      </c>
      <c r="I88" s="584">
        <f>I87+I86+I85</f>
        <v>184838</v>
      </c>
      <c r="J88" s="584">
        <f t="shared" ref="J88" si="30">J87+J86+J85</f>
        <v>0</v>
      </c>
      <c r="K88" s="517"/>
      <c r="L88" s="827" t="s">
        <v>373</v>
      </c>
      <c r="M88" s="828"/>
      <c r="N88" s="828"/>
      <c r="O88" s="829"/>
      <c r="P88" s="584" t="e">
        <f>P86+P85</f>
        <v>#REF!</v>
      </c>
      <c r="Q88" s="584" t="e">
        <f>Q86+Q85</f>
        <v>#REF!</v>
      </c>
      <c r="R88" s="584">
        <f>R86+R85</f>
        <v>184838</v>
      </c>
      <c r="S88" s="584">
        <f t="shared" ref="S88" si="31">S86+S85</f>
        <v>0</v>
      </c>
    </row>
    <row r="89" spans="1:22" ht="39.75" customHeight="1">
      <c r="A89" s="9">
        <v>80</v>
      </c>
      <c r="B89" s="838" t="s">
        <v>376</v>
      </c>
      <c r="C89" s="838"/>
      <c r="D89" s="838"/>
      <c r="E89" s="838"/>
      <c r="F89" s="838"/>
      <c r="G89" s="838"/>
      <c r="H89" s="838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</row>
    <row r="90" spans="1:22">
      <c r="A90" s="9">
        <v>81</v>
      </c>
      <c r="B90" s="147" t="s">
        <v>325</v>
      </c>
      <c r="C90" s="9" t="s">
        <v>326</v>
      </c>
      <c r="D90" s="9"/>
      <c r="E90" s="9"/>
      <c r="F90" s="9"/>
      <c r="G90" s="14" t="e">
        <f t="shared" ref="G90:J94" si="32">G74+G58+G42+G26+G10</f>
        <v>#REF!</v>
      </c>
      <c r="H90" s="14" t="e">
        <f>H74+H58+H42+H26+H10</f>
        <v>#REF!</v>
      </c>
      <c r="I90" s="14" t="e">
        <f t="shared" si="32"/>
        <v>#REF!</v>
      </c>
      <c r="J90" s="14">
        <f t="shared" si="32"/>
        <v>0</v>
      </c>
      <c r="K90" s="14" t="s">
        <v>327</v>
      </c>
      <c r="L90" s="830" t="s">
        <v>328</v>
      </c>
      <c r="M90" s="831"/>
      <c r="N90" s="831"/>
      <c r="O90" s="832"/>
      <c r="P90" s="14" t="e">
        <f t="shared" ref="P90:S95" si="33">SUM(P10,P26,P42,P58,P74)</f>
        <v>#REF!</v>
      </c>
      <c r="Q90" s="14" t="e">
        <f t="shared" si="33"/>
        <v>#REF!</v>
      </c>
      <c r="R90" s="14">
        <f t="shared" si="33"/>
        <v>223003</v>
      </c>
      <c r="S90" s="14">
        <f t="shared" si="33"/>
        <v>0</v>
      </c>
    </row>
    <row r="91" spans="1:22">
      <c r="A91" s="9">
        <v>82</v>
      </c>
      <c r="B91" s="147" t="s">
        <v>329</v>
      </c>
      <c r="C91" s="833" t="s">
        <v>330</v>
      </c>
      <c r="D91" s="833"/>
      <c r="E91" s="833"/>
      <c r="F91" s="833"/>
      <c r="G91" s="14" t="e">
        <f t="shared" si="32"/>
        <v>#REF!</v>
      </c>
      <c r="H91" s="14" t="e">
        <f t="shared" si="32"/>
        <v>#REF!</v>
      </c>
      <c r="I91" s="14">
        <f t="shared" si="32"/>
        <v>36095</v>
      </c>
      <c r="J91" s="14">
        <f t="shared" si="32"/>
        <v>0</v>
      </c>
      <c r="K91" s="14" t="s">
        <v>331</v>
      </c>
      <c r="L91" s="839" t="s">
        <v>332</v>
      </c>
      <c r="M91" s="839"/>
      <c r="N91" s="839"/>
      <c r="O91" s="839"/>
      <c r="P91" s="14" t="e">
        <f t="shared" si="33"/>
        <v>#REF!</v>
      </c>
      <c r="Q91" s="14" t="e">
        <f t="shared" si="33"/>
        <v>#REF!</v>
      </c>
      <c r="R91" s="14">
        <f t="shared" si="33"/>
        <v>27424</v>
      </c>
      <c r="S91" s="14">
        <f t="shared" si="33"/>
        <v>0</v>
      </c>
    </row>
    <row r="92" spans="1:22">
      <c r="A92" s="9">
        <v>83</v>
      </c>
      <c r="B92" s="147" t="s">
        <v>333</v>
      </c>
      <c r="C92" s="833" t="s">
        <v>334</v>
      </c>
      <c r="D92" s="833"/>
      <c r="E92" s="833"/>
      <c r="F92" s="833"/>
      <c r="G92" s="14" t="e">
        <f t="shared" si="32"/>
        <v>#REF!</v>
      </c>
      <c r="H92" s="14" t="e">
        <f t="shared" si="32"/>
        <v>#REF!</v>
      </c>
      <c r="I92" s="14">
        <f t="shared" si="32"/>
        <v>49175</v>
      </c>
      <c r="J92" s="14">
        <f t="shared" si="32"/>
        <v>0</v>
      </c>
      <c r="K92" s="14" t="s">
        <v>335</v>
      </c>
      <c r="L92" s="830" t="s">
        <v>336</v>
      </c>
      <c r="M92" s="831"/>
      <c r="N92" s="831"/>
      <c r="O92" s="832"/>
      <c r="P92" s="14" t="e">
        <f t="shared" si="33"/>
        <v>#REF!</v>
      </c>
      <c r="Q92" s="14" t="e">
        <f t="shared" si="33"/>
        <v>#REF!</v>
      </c>
      <c r="R92" s="14">
        <f t="shared" si="33"/>
        <v>263766</v>
      </c>
      <c r="S92" s="14">
        <f t="shared" si="33"/>
        <v>0</v>
      </c>
    </row>
    <row r="93" spans="1:22">
      <c r="A93" s="9">
        <v>84</v>
      </c>
      <c r="B93" s="147" t="s">
        <v>337</v>
      </c>
      <c r="C93" s="64" t="s">
        <v>338</v>
      </c>
      <c r="D93" s="64"/>
      <c r="E93" s="64"/>
      <c r="F93" s="64"/>
      <c r="G93" s="14">
        <f t="shared" si="32"/>
        <v>100000</v>
      </c>
      <c r="H93" s="14">
        <f t="shared" si="32"/>
        <v>0</v>
      </c>
      <c r="I93" s="14">
        <f t="shared" si="32"/>
        <v>100000</v>
      </c>
      <c r="J93" s="14">
        <f t="shared" si="32"/>
        <v>0</v>
      </c>
      <c r="K93" s="14" t="s">
        <v>339</v>
      </c>
      <c r="L93" s="830" t="s">
        <v>340</v>
      </c>
      <c r="M93" s="831"/>
      <c r="N93" s="831"/>
      <c r="O93" s="832"/>
      <c r="P93" s="14" t="e">
        <f t="shared" si="33"/>
        <v>#REF!</v>
      </c>
      <c r="Q93" s="14" t="e">
        <f t="shared" si="33"/>
        <v>#REF!</v>
      </c>
      <c r="R93" s="14">
        <f t="shared" si="33"/>
        <v>141150</v>
      </c>
      <c r="S93" s="14">
        <f t="shared" si="33"/>
        <v>0</v>
      </c>
    </row>
    <row r="94" spans="1:22">
      <c r="A94" s="9">
        <v>85</v>
      </c>
      <c r="B94" s="147" t="s">
        <v>351</v>
      </c>
      <c r="C94" s="833" t="s">
        <v>352</v>
      </c>
      <c r="D94" s="833"/>
      <c r="E94" s="833"/>
      <c r="F94" s="833"/>
      <c r="G94" s="14" t="e">
        <f t="shared" si="32"/>
        <v>#REF!</v>
      </c>
      <c r="H94" s="14" t="e">
        <f t="shared" si="32"/>
        <v>#REF!</v>
      </c>
      <c r="I94" s="14">
        <f t="shared" si="32"/>
        <v>1635000</v>
      </c>
      <c r="J94" s="14">
        <f t="shared" si="32"/>
        <v>0</v>
      </c>
      <c r="K94" s="14" t="s">
        <v>341</v>
      </c>
      <c r="L94" s="830" t="s">
        <v>377</v>
      </c>
      <c r="M94" s="831"/>
      <c r="N94" s="831"/>
      <c r="O94" s="832"/>
      <c r="P94" s="14" t="e">
        <f t="shared" si="33"/>
        <v>#REF!</v>
      </c>
      <c r="Q94" s="14" t="e">
        <f t="shared" si="33"/>
        <v>#REF!</v>
      </c>
      <c r="R94" s="14">
        <f t="shared" si="33"/>
        <v>600745</v>
      </c>
      <c r="S94" s="14">
        <f t="shared" si="33"/>
        <v>0</v>
      </c>
    </row>
    <row r="95" spans="1:22">
      <c r="A95" s="9">
        <v>86</v>
      </c>
      <c r="B95" s="147"/>
      <c r="C95" s="834"/>
      <c r="D95" s="835"/>
      <c r="E95" s="835"/>
      <c r="F95" s="836"/>
      <c r="G95" s="14"/>
      <c r="H95" s="14"/>
      <c r="I95" s="14"/>
      <c r="J95" s="14"/>
      <c r="K95" s="14" t="s">
        <v>343</v>
      </c>
      <c r="L95" s="830" t="s">
        <v>344</v>
      </c>
      <c r="M95" s="831"/>
      <c r="N95" s="831"/>
      <c r="O95" s="832"/>
      <c r="P95" s="14" t="e">
        <f t="shared" si="33"/>
        <v>#REF!</v>
      </c>
      <c r="Q95" s="14" t="e">
        <f t="shared" si="33"/>
        <v>#REF!</v>
      </c>
      <c r="R95" s="14">
        <f t="shared" si="33"/>
        <v>0</v>
      </c>
      <c r="S95" s="14">
        <f t="shared" si="33"/>
        <v>0</v>
      </c>
    </row>
    <row r="96" spans="1:22">
      <c r="A96" s="9">
        <v>87</v>
      </c>
      <c r="B96" s="817" t="s">
        <v>345</v>
      </c>
      <c r="C96" s="837"/>
      <c r="D96" s="837"/>
      <c r="E96" s="837"/>
      <c r="F96" s="837"/>
      <c r="G96" s="48" t="e">
        <f>SUM(G90:G95)</f>
        <v>#REF!</v>
      </c>
      <c r="H96" s="48" t="e">
        <f>SUM(H90:H95)</f>
        <v>#REF!</v>
      </c>
      <c r="I96" s="48" t="e">
        <f>SUM(I90:I95)</f>
        <v>#REF!</v>
      </c>
      <c r="J96" s="48">
        <f>SUM(J90:J95)</f>
        <v>0</v>
      </c>
      <c r="K96" s="818" t="s">
        <v>346</v>
      </c>
      <c r="L96" s="819"/>
      <c r="M96" s="819"/>
      <c r="N96" s="819"/>
      <c r="O96" s="820"/>
      <c r="P96" s="48" t="e">
        <f>SUM(P90:P95)</f>
        <v>#REF!</v>
      </c>
      <c r="Q96" s="590" t="e">
        <f>SUM(Q90:Q95)</f>
        <v>#REF!</v>
      </c>
      <c r="R96" s="590">
        <f t="shared" ref="R96:S96" si="34">SUM(R90:R95)</f>
        <v>1256088</v>
      </c>
      <c r="S96" s="48">
        <f t="shared" si="34"/>
        <v>0</v>
      </c>
    </row>
    <row r="97" spans="1:22">
      <c r="A97" s="9">
        <v>88</v>
      </c>
      <c r="B97" s="147" t="s">
        <v>347</v>
      </c>
      <c r="C97" s="64" t="s">
        <v>348</v>
      </c>
      <c r="D97" s="64"/>
      <c r="E97" s="64"/>
      <c r="F97" s="64"/>
      <c r="G97" s="14" t="e">
        <f t="shared" ref="G97:J99" si="35">G81+G65+G49+G33+G17</f>
        <v>#REF!</v>
      </c>
      <c r="H97" s="14" t="e">
        <f t="shared" si="35"/>
        <v>#REF!</v>
      </c>
      <c r="I97" s="14">
        <f t="shared" si="35"/>
        <v>0</v>
      </c>
      <c r="J97" s="14">
        <f t="shared" si="35"/>
        <v>0</v>
      </c>
      <c r="K97" s="14" t="s">
        <v>349</v>
      </c>
      <c r="L97" s="830" t="s">
        <v>350</v>
      </c>
      <c r="M97" s="831"/>
      <c r="N97" s="831"/>
      <c r="O97" s="832"/>
      <c r="P97" s="14" t="e">
        <f t="shared" ref="P97:Q99" si="36">SUM(P17,P33,P49,P65,P81)</f>
        <v>#REF!</v>
      </c>
      <c r="Q97" s="14" t="e">
        <f t="shared" si="36"/>
        <v>#REF!</v>
      </c>
      <c r="R97" s="14">
        <f t="shared" ref="R97" si="37">SUM(R17,R33,R49,R65,R81)</f>
        <v>178496</v>
      </c>
      <c r="S97" s="14">
        <f t="shared" ref="S97" si="38">SUM(S17,S33,S49,S65,S81)</f>
        <v>0</v>
      </c>
    </row>
    <row r="98" spans="1:22">
      <c r="A98" s="9">
        <v>89</v>
      </c>
      <c r="B98" s="147" t="s">
        <v>355</v>
      </c>
      <c r="C98" s="64" t="s">
        <v>356</v>
      </c>
      <c r="D98" s="64"/>
      <c r="E98" s="64"/>
      <c r="F98" s="64"/>
      <c r="G98" s="14" t="e">
        <f t="shared" si="35"/>
        <v>#REF!</v>
      </c>
      <c r="H98" s="14" t="e">
        <f t="shared" si="35"/>
        <v>#REF!</v>
      </c>
      <c r="I98" s="14">
        <f t="shared" si="35"/>
        <v>0</v>
      </c>
      <c r="J98" s="14">
        <f t="shared" si="35"/>
        <v>0</v>
      </c>
      <c r="K98" s="14" t="s">
        <v>353</v>
      </c>
      <c r="L98" s="830" t="s">
        <v>354</v>
      </c>
      <c r="M98" s="831"/>
      <c r="N98" s="831"/>
      <c r="O98" s="832"/>
      <c r="P98" s="14" t="e">
        <f t="shared" si="36"/>
        <v>#REF!</v>
      </c>
      <c r="Q98" s="14" t="e">
        <f t="shared" si="36"/>
        <v>#REF!</v>
      </c>
      <c r="R98" s="14">
        <f t="shared" ref="R98" si="39">SUM(R18,R34,R50,R66,R82)</f>
        <v>519635</v>
      </c>
      <c r="S98" s="14">
        <f t="shared" ref="S98" si="40">SUM(S18,S34,S50,S66,S82)</f>
        <v>0</v>
      </c>
    </row>
    <row r="99" spans="1:22">
      <c r="A99" s="9">
        <v>90</v>
      </c>
      <c r="B99" s="147" t="s">
        <v>359</v>
      </c>
      <c r="C99" s="833" t="s">
        <v>360</v>
      </c>
      <c r="D99" s="833"/>
      <c r="E99" s="833"/>
      <c r="F99" s="833"/>
      <c r="G99" s="14" t="e">
        <f t="shared" si="35"/>
        <v>#REF!</v>
      </c>
      <c r="H99" s="14" t="e">
        <f t="shared" si="35"/>
        <v>#REF!</v>
      </c>
      <c r="I99" s="14">
        <f t="shared" si="35"/>
        <v>0</v>
      </c>
      <c r="J99" s="14">
        <f t="shared" si="35"/>
        <v>0</v>
      </c>
      <c r="K99" s="14" t="s">
        <v>357</v>
      </c>
      <c r="L99" s="830" t="s">
        <v>358</v>
      </c>
      <c r="M99" s="831"/>
      <c r="N99" s="831"/>
      <c r="O99" s="832"/>
      <c r="P99" s="14" t="e">
        <f t="shared" si="36"/>
        <v>#REF!</v>
      </c>
      <c r="Q99" s="14" t="e">
        <f t="shared" si="36"/>
        <v>#REF!</v>
      </c>
      <c r="R99" s="14">
        <f t="shared" ref="R99" si="41">SUM(R19,R35,R51,R67,R83)</f>
        <v>5500</v>
      </c>
      <c r="S99" s="14">
        <f t="shared" ref="S99" si="42">SUM(S19,S35,S51,S67,S83)</f>
        <v>0</v>
      </c>
    </row>
    <row r="100" spans="1:22">
      <c r="A100" s="9">
        <v>91</v>
      </c>
      <c r="B100" s="816" t="s">
        <v>361</v>
      </c>
      <c r="C100" s="816"/>
      <c r="D100" s="816"/>
      <c r="E100" s="816"/>
      <c r="F100" s="817"/>
      <c r="G100" s="48" t="e">
        <f>SUM(G97:G99)</f>
        <v>#REF!</v>
      </c>
      <c r="H100" s="48" t="e">
        <f>SUM(H97:H99)</f>
        <v>#REF!</v>
      </c>
      <c r="I100" s="48">
        <f>SUM(I97:I99)</f>
        <v>0</v>
      </c>
      <c r="J100" s="48">
        <f>SUM(J97:J99)</f>
        <v>0</v>
      </c>
      <c r="K100" s="818" t="s">
        <v>362</v>
      </c>
      <c r="L100" s="819"/>
      <c r="M100" s="819"/>
      <c r="N100" s="819"/>
      <c r="O100" s="820"/>
      <c r="P100" s="48" t="e">
        <f>SUM(P97:P99)</f>
        <v>#REF!</v>
      </c>
      <c r="Q100" s="48" t="e">
        <f>SUM(Q97:Q99)</f>
        <v>#REF!</v>
      </c>
      <c r="R100" s="48">
        <f>SUM(R97:R99)</f>
        <v>703631</v>
      </c>
      <c r="S100" s="48">
        <f>SUM(S97:S99)</f>
        <v>0</v>
      </c>
    </row>
    <row r="101" spans="1:22">
      <c r="A101" s="9">
        <v>92</v>
      </c>
      <c r="B101" s="147"/>
      <c r="C101" s="815" t="s">
        <v>363</v>
      </c>
      <c r="D101" s="816"/>
      <c r="E101" s="816"/>
      <c r="F101" s="817"/>
      <c r="G101" s="48" t="e">
        <f>G100+G96</f>
        <v>#REF!</v>
      </c>
      <c r="H101" s="48" t="e">
        <f>H100+H96</f>
        <v>#REF!</v>
      </c>
      <c r="I101" s="48" t="e">
        <f>I100+I96</f>
        <v>#REF!</v>
      </c>
      <c r="J101" s="48">
        <f>J100+J96</f>
        <v>0</v>
      </c>
      <c r="K101" s="14"/>
      <c r="L101" s="818" t="s">
        <v>364</v>
      </c>
      <c r="M101" s="819"/>
      <c r="N101" s="819"/>
      <c r="O101" s="820"/>
      <c r="P101" s="48" t="e">
        <f>P100+P96</f>
        <v>#REF!</v>
      </c>
      <c r="Q101" s="590" t="e">
        <f>Q100+Q96</f>
        <v>#REF!</v>
      </c>
      <c r="R101" s="590">
        <f>R100+R96</f>
        <v>1959719</v>
      </c>
      <c r="S101" s="48">
        <f>S100+S96</f>
        <v>0</v>
      </c>
    </row>
    <row r="102" spans="1:22">
      <c r="A102" s="9">
        <v>93</v>
      </c>
      <c r="B102" s="147" t="s">
        <v>365</v>
      </c>
      <c r="C102" s="815" t="s">
        <v>318</v>
      </c>
      <c r="D102" s="816"/>
      <c r="E102" s="816"/>
      <c r="F102" s="817"/>
      <c r="G102" s="48">
        <f>G22</f>
        <v>0</v>
      </c>
      <c r="H102" s="48">
        <v>0</v>
      </c>
      <c r="I102" s="48">
        <v>0</v>
      </c>
      <c r="J102" s="48">
        <v>0</v>
      </c>
      <c r="K102" s="14" t="s">
        <v>366</v>
      </c>
      <c r="L102" s="818" t="s">
        <v>367</v>
      </c>
      <c r="M102" s="819"/>
      <c r="N102" s="819"/>
      <c r="O102" s="820"/>
      <c r="P102" s="48" t="e">
        <f>P22</f>
        <v>#REF!</v>
      </c>
      <c r="Q102" s="48" t="e">
        <f>Q22</f>
        <v>#REF!</v>
      </c>
      <c r="R102" s="590">
        <f>R22</f>
        <v>10000</v>
      </c>
      <c r="S102" s="48">
        <v>0</v>
      </c>
    </row>
    <row r="103" spans="1:22">
      <c r="A103" s="9">
        <v>94</v>
      </c>
      <c r="B103" s="147" t="s">
        <v>368</v>
      </c>
      <c r="C103" s="815" t="s">
        <v>369</v>
      </c>
      <c r="D103" s="816"/>
      <c r="E103" s="816"/>
      <c r="F103" s="817"/>
      <c r="G103" s="48">
        <f>SUM(G23,G38,G54,G70,G86)</f>
        <v>794500</v>
      </c>
      <c r="H103" s="48">
        <f>H23+H38+H54+H70+H86</f>
        <v>765119</v>
      </c>
      <c r="I103" s="48">
        <f>I23+I38+I54+I70+I86</f>
        <v>29381</v>
      </c>
      <c r="J103" s="48">
        <f>J86+J70+J54+J38+J23</f>
        <v>0</v>
      </c>
      <c r="K103" s="14" t="s">
        <v>370</v>
      </c>
      <c r="L103" s="818" t="s">
        <v>371</v>
      </c>
      <c r="M103" s="819"/>
      <c r="N103" s="819"/>
      <c r="O103" s="820"/>
      <c r="P103" s="48" t="e">
        <f>SUM(P23,P38,P54,P70,P86)</f>
        <v>#REF!</v>
      </c>
      <c r="Q103" s="48" t="e">
        <f>SUM(Q23,Q38,Q54,Q70,Q86)</f>
        <v>#REF!</v>
      </c>
      <c r="R103" s="48">
        <f>SUM(R23,R38,R54,R70,R86)</f>
        <v>150418</v>
      </c>
      <c r="S103" s="48">
        <v>0</v>
      </c>
    </row>
    <row r="104" spans="1:22">
      <c r="A104" s="9">
        <v>95</v>
      </c>
      <c r="B104" s="147" t="s">
        <v>374</v>
      </c>
      <c r="C104" s="815" t="s">
        <v>375</v>
      </c>
      <c r="D104" s="816"/>
      <c r="E104" s="816"/>
      <c r="F104" s="817"/>
      <c r="G104" s="48" t="e">
        <f>SUM(G39,G55,G71,G87)</f>
        <v>#REF!</v>
      </c>
      <c r="H104" s="48" t="e">
        <f>SUM(H39,H55,H71,H87)</f>
        <v>#REF!</v>
      </c>
      <c r="I104" s="48">
        <f>SUM(I39,I55,I71,I87)</f>
        <v>154663</v>
      </c>
      <c r="J104" s="48">
        <v>0</v>
      </c>
      <c r="K104" s="14"/>
      <c r="L104" s="821"/>
      <c r="M104" s="822"/>
      <c r="N104" s="822"/>
      <c r="O104" s="823"/>
      <c r="P104" s="48"/>
      <c r="Q104" s="590"/>
      <c r="R104" s="590"/>
      <c r="S104" s="48"/>
    </row>
    <row r="105" spans="1:22">
      <c r="A105" s="9">
        <v>96</v>
      </c>
      <c r="B105" s="148"/>
      <c r="C105" s="824" t="s">
        <v>372</v>
      </c>
      <c r="D105" s="825"/>
      <c r="E105" s="825"/>
      <c r="F105" s="826"/>
      <c r="G105" s="584" t="e">
        <f>G103+G101+G102</f>
        <v>#REF!</v>
      </c>
      <c r="H105" s="584" t="e">
        <f>H101+H103-I104</f>
        <v>#REF!</v>
      </c>
      <c r="I105" s="584" t="e">
        <f>I101+I103+I104</f>
        <v>#REF!</v>
      </c>
      <c r="J105" s="517">
        <f t="shared" ref="J105" si="43">J103+J101</f>
        <v>0</v>
      </c>
      <c r="K105" s="517"/>
      <c r="L105" s="827" t="s">
        <v>373</v>
      </c>
      <c r="M105" s="828"/>
      <c r="N105" s="828"/>
      <c r="O105" s="829"/>
      <c r="P105" s="584" t="e">
        <f>P103+P101-P103+P102</f>
        <v>#REF!</v>
      </c>
      <c r="Q105" s="584" t="e">
        <f>SUM(Q101:Q103)-2434754</f>
        <v>#REF!</v>
      </c>
      <c r="R105" s="584">
        <f>SUM(R101:R103)</f>
        <v>2120137</v>
      </c>
      <c r="S105" s="584">
        <f>S103+S101-S103</f>
        <v>0</v>
      </c>
      <c r="V105" s="41" t="e">
        <f>Q105-H105</f>
        <v>#REF!</v>
      </c>
    </row>
  </sheetData>
  <mergeCells count="166">
    <mergeCell ref="A3:S3"/>
    <mergeCell ref="B8:F8"/>
    <mergeCell ref="K8:O8"/>
    <mergeCell ref="B9:S9"/>
    <mergeCell ref="L10:O10"/>
    <mergeCell ref="C11:F11"/>
    <mergeCell ref="L11:O11"/>
    <mergeCell ref="B16:F16"/>
    <mergeCell ref="K16:O16"/>
    <mergeCell ref="Q6:S6"/>
    <mergeCell ref="C7:F7"/>
    <mergeCell ref="K7:O7"/>
    <mergeCell ref="L17:O17"/>
    <mergeCell ref="L18:O18"/>
    <mergeCell ref="C19:F19"/>
    <mergeCell ref="L19:O19"/>
    <mergeCell ref="C12:F12"/>
    <mergeCell ref="L12:O12"/>
    <mergeCell ref="L13:O13"/>
    <mergeCell ref="C14:F14"/>
    <mergeCell ref="L14:O14"/>
    <mergeCell ref="C15:F15"/>
    <mergeCell ref="L15:O15"/>
    <mergeCell ref="C22:F22"/>
    <mergeCell ref="L22:O22"/>
    <mergeCell ref="C23:F23"/>
    <mergeCell ref="L23:O23"/>
    <mergeCell ref="C24:F24"/>
    <mergeCell ref="L24:O24"/>
    <mergeCell ref="B20:F20"/>
    <mergeCell ref="K20:O20"/>
    <mergeCell ref="C21:F21"/>
    <mergeCell ref="L21:O21"/>
    <mergeCell ref="L29:O29"/>
    <mergeCell ref="L30:O30"/>
    <mergeCell ref="L31:O31"/>
    <mergeCell ref="B32:F32"/>
    <mergeCell ref="K32:O32"/>
    <mergeCell ref="L33:O33"/>
    <mergeCell ref="B25:S25"/>
    <mergeCell ref="L26:O26"/>
    <mergeCell ref="C27:F27"/>
    <mergeCell ref="L27:O27"/>
    <mergeCell ref="C28:F28"/>
    <mergeCell ref="L28:O28"/>
    <mergeCell ref="B31:F31"/>
    <mergeCell ref="C30:F30"/>
    <mergeCell ref="B36:F36"/>
    <mergeCell ref="K36:O36"/>
    <mergeCell ref="C37:F37"/>
    <mergeCell ref="L37:O37"/>
    <mergeCell ref="C38:F38"/>
    <mergeCell ref="L38:O38"/>
    <mergeCell ref="L34:O34"/>
    <mergeCell ref="C35:F35"/>
    <mergeCell ref="L35:O35"/>
    <mergeCell ref="C44:F44"/>
    <mergeCell ref="L44:O44"/>
    <mergeCell ref="L45:O45"/>
    <mergeCell ref="L46:O46"/>
    <mergeCell ref="L47:O47"/>
    <mergeCell ref="B48:F48"/>
    <mergeCell ref="K48:O48"/>
    <mergeCell ref="C39:F39"/>
    <mergeCell ref="C40:F40"/>
    <mergeCell ref="L40:O40"/>
    <mergeCell ref="B41:S41"/>
    <mergeCell ref="L42:O42"/>
    <mergeCell ref="C43:F43"/>
    <mergeCell ref="L43:O43"/>
    <mergeCell ref="B47:F47"/>
    <mergeCell ref="C46:F46"/>
    <mergeCell ref="B52:F52"/>
    <mergeCell ref="K52:O52"/>
    <mergeCell ref="C53:F53"/>
    <mergeCell ref="L53:O53"/>
    <mergeCell ref="C54:F54"/>
    <mergeCell ref="L54:O54"/>
    <mergeCell ref="L49:O49"/>
    <mergeCell ref="L50:O50"/>
    <mergeCell ref="C51:F51"/>
    <mergeCell ref="L51:O51"/>
    <mergeCell ref="C60:F60"/>
    <mergeCell ref="L60:O60"/>
    <mergeCell ref="L61:O61"/>
    <mergeCell ref="L62:O62"/>
    <mergeCell ref="L63:O63"/>
    <mergeCell ref="C55:F55"/>
    <mergeCell ref="C56:F56"/>
    <mergeCell ref="L56:O56"/>
    <mergeCell ref="B57:S57"/>
    <mergeCell ref="L58:O58"/>
    <mergeCell ref="C59:F59"/>
    <mergeCell ref="L59:O59"/>
    <mergeCell ref="B63:F63"/>
    <mergeCell ref="C62:F62"/>
    <mergeCell ref="B68:F68"/>
    <mergeCell ref="K68:O68"/>
    <mergeCell ref="C69:F69"/>
    <mergeCell ref="L69:O69"/>
    <mergeCell ref="B64:F64"/>
    <mergeCell ref="K64:O64"/>
    <mergeCell ref="L65:O65"/>
    <mergeCell ref="L66:O66"/>
    <mergeCell ref="C67:F67"/>
    <mergeCell ref="L67:O67"/>
    <mergeCell ref="L74:O74"/>
    <mergeCell ref="C75:F75"/>
    <mergeCell ref="L75:O75"/>
    <mergeCell ref="C76:F76"/>
    <mergeCell ref="L76:O76"/>
    <mergeCell ref="L77:O77"/>
    <mergeCell ref="C70:F70"/>
    <mergeCell ref="L70:O70"/>
    <mergeCell ref="C71:F71"/>
    <mergeCell ref="C72:F72"/>
    <mergeCell ref="L72:O72"/>
    <mergeCell ref="B73:S73"/>
    <mergeCell ref="C83:F83"/>
    <mergeCell ref="L83:O83"/>
    <mergeCell ref="B84:F84"/>
    <mergeCell ref="K84:O84"/>
    <mergeCell ref="L78:O78"/>
    <mergeCell ref="L79:O79"/>
    <mergeCell ref="B80:F80"/>
    <mergeCell ref="K80:O80"/>
    <mergeCell ref="L81:O81"/>
    <mergeCell ref="L82:O82"/>
    <mergeCell ref="C78:F78"/>
    <mergeCell ref="C79:F79"/>
    <mergeCell ref="B89:S89"/>
    <mergeCell ref="L90:O90"/>
    <mergeCell ref="C91:F91"/>
    <mergeCell ref="L91:O91"/>
    <mergeCell ref="C92:F92"/>
    <mergeCell ref="L92:O92"/>
    <mergeCell ref="C85:F85"/>
    <mergeCell ref="L85:O85"/>
    <mergeCell ref="C86:F86"/>
    <mergeCell ref="L86:O86"/>
    <mergeCell ref="C87:F87"/>
    <mergeCell ref="C88:F88"/>
    <mergeCell ref="L88:O88"/>
    <mergeCell ref="L97:O97"/>
    <mergeCell ref="L98:O98"/>
    <mergeCell ref="C99:F99"/>
    <mergeCell ref="L99:O99"/>
    <mergeCell ref="L93:O93"/>
    <mergeCell ref="C94:F94"/>
    <mergeCell ref="L94:O94"/>
    <mergeCell ref="C95:F95"/>
    <mergeCell ref="L95:O95"/>
    <mergeCell ref="B96:F96"/>
    <mergeCell ref="K96:O96"/>
    <mergeCell ref="C103:F103"/>
    <mergeCell ref="L103:O103"/>
    <mergeCell ref="C104:F104"/>
    <mergeCell ref="L104:O104"/>
    <mergeCell ref="C105:F105"/>
    <mergeCell ref="L105:O105"/>
    <mergeCell ref="B100:F100"/>
    <mergeCell ref="K100:O100"/>
    <mergeCell ref="C101:F101"/>
    <mergeCell ref="L101:O101"/>
    <mergeCell ref="C102:F102"/>
    <mergeCell ref="L102:O10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70" fitToHeight="0" orientation="landscape" r:id="rId1"/>
  <headerFooter>
    <oddFooter>&amp;P. oldal</oddFooter>
  </headerFooter>
  <rowBreaks count="2" manualBreakCount="2">
    <brk id="40" max="18" man="1"/>
    <brk id="88" max="18" man="1"/>
  </rowBreaks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D183-C560-4834-98D0-8ACDAB83042A}">
  <sheetPr>
    <tabColor rgb="FF92D050"/>
  </sheetPr>
  <dimension ref="A1:T156"/>
  <sheetViews>
    <sheetView view="pageLayout" zoomScaleNormal="100" workbookViewId="0">
      <selection activeCell="C2" sqref="C2"/>
    </sheetView>
  </sheetViews>
  <sheetFormatPr defaultColWidth="9.140625" defaultRowHeight="12.75"/>
  <cols>
    <col min="1" max="1" width="6.5703125" style="252" customWidth="1"/>
    <col min="2" max="2" width="43.7109375" style="255" customWidth="1"/>
    <col min="3" max="3" width="12.7109375" style="332" customWidth="1"/>
    <col min="4" max="4" width="11.85546875" style="332" customWidth="1"/>
    <col min="5" max="5" width="10.28515625" style="332" customWidth="1"/>
    <col min="6" max="6" width="12.28515625" style="332" hidden="1" customWidth="1"/>
    <col min="7" max="7" width="15.85546875" style="501" customWidth="1"/>
    <col min="8" max="16384" width="9.140625" style="255"/>
  </cols>
  <sheetData>
    <row r="1" spans="1:20" ht="27.75" customHeight="1">
      <c r="B1" s="253" t="s">
        <v>578</v>
      </c>
      <c r="C1" s="330"/>
      <c r="D1" s="330"/>
      <c r="E1" s="330"/>
      <c r="F1" s="331"/>
      <c r="G1" s="360"/>
      <c r="H1" s="254"/>
      <c r="I1" s="243"/>
      <c r="J1" s="243"/>
      <c r="K1" s="243"/>
    </row>
    <row r="2" spans="1:20">
      <c r="G2" s="361" t="s">
        <v>56</v>
      </c>
    </row>
    <row r="3" spans="1:20" ht="27" customHeight="1" thickBot="1">
      <c r="B3" s="875" t="s">
        <v>378</v>
      </c>
      <c r="C3" s="875"/>
      <c r="D3" s="876"/>
      <c r="E3" s="876"/>
      <c r="F3" s="876"/>
      <c r="G3" s="876"/>
    </row>
    <row r="4" spans="1:20" ht="26.25" customHeight="1">
      <c r="A4" s="877" t="s">
        <v>475</v>
      </c>
      <c r="B4" s="256" t="s">
        <v>379</v>
      </c>
      <c r="C4" s="879" t="s">
        <v>392</v>
      </c>
      <c r="D4" s="879"/>
      <c r="E4" s="879"/>
      <c r="F4" s="879"/>
      <c r="G4" s="880"/>
      <c r="T4" s="619" t="s">
        <v>580</v>
      </c>
    </row>
    <row r="5" spans="1:20" ht="13.5" thickBot="1">
      <c r="A5" s="878"/>
      <c r="B5" s="521" t="s">
        <v>414</v>
      </c>
      <c r="C5" s="522" t="s">
        <v>415</v>
      </c>
      <c r="D5" s="522" t="s">
        <v>416</v>
      </c>
      <c r="E5" s="522" t="s">
        <v>417</v>
      </c>
      <c r="F5" s="881" t="s">
        <v>418</v>
      </c>
      <c r="G5" s="882"/>
    </row>
    <row r="6" spans="1:20" ht="13.5" thickBot="1">
      <c r="A6" s="362">
        <v>1</v>
      </c>
      <c r="B6" s="523" t="s">
        <v>380</v>
      </c>
      <c r="C6" s="524">
        <v>2024</v>
      </c>
      <c r="D6" s="525">
        <v>2025</v>
      </c>
      <c r="E6" s="525" t="s">
        <v>524</v>
      </c>
      <c r="F6" s="525" t="s">
        <v>391</v>
      </c>
      <c r="G6" s="526" t="s">
        <v>19</v>
      </c>
    </row>
    <row r="7" spans="1:20">
      <c r="A7" s="362">
        <v>2</v>
      </c>
      <c r="B7" s="257" t="s">
        <v>381</v>
      </c>
      <c r="C7" s="363"/>
      <c r="D7" s="364"/>
      <c r="E7" s="365"/>
      <c r="F7" s="366"/>
      <c r="G7" s="367">
        <f>SUM(C7:E7)</f>
        <v>0</v>
      </c>
    </row>
    <row r="8" spans="1:20">
      <c r="A8" s="362">
        <v>3</v>
      </c>
      <c r="B8" s="258" t="s">
        <v>382</v>
      </c>
      <c r="C8" s="368"/>
      <c r="D8" s="369"/>
      <c r="E8" s="369"/>
      <c r="F8" s="370"/>
      <c r="G8" s="371">
        <f>SUM(C8:E8)</f>
        <v>0</v>
      </c>
    </row>
    <row r="9" spans="1:20">
      <c r="A9" s="362">
        <v>4</v>
      </c>
      <c r="B9" s="259" t="s">
        <v>383</v>
      </c>
      <c r="C9" s="372"/>
      <c r="D9" s="369"/>
      <c r="E9" s="369"/>
      <c r="F9" s="373"/>
      <c r="G9" s="371">
        <f t="shared" ref="G9:G12" si="0">SUM(C9:E9)</f>
        <v>0</v>
      </c>
    </row>
    <row r="10" spans="1:20">
      <c r="A10" s="362">
        <v>5</v>
      </c>
      <c r="B10" s="260" t="s">
        <v>384</v>
      </c>
      <c r="C10" s="374"/>
      <c r="D10" s="369"/>
      <c r="E10" s="369"/>
      <c r="F10" s="373"/>
      <c r="G10" s="371">
        <f t="shared" si="0"/>
        <v>0</v>
      </c>
    </row>
    <row r="11" spans="1:20">
      <c r="A11" s="362">
        <v>6</v>
      </c>
      <c r="B11" s="259" t="s">
        <v>385</v>
      </c>
      <c r="C11" s="372"/>
      <c r="D11" s="375"/>
      <c r="E11" s="375"/>
      <c r="F11" s="376"/>
      <c r="G11" s="371">
        <f t="shared" si="0"/>
        <v>0</v>
      </c>
    </row>
    <row r="12" spans="1:20" ht="13.5" thickBot="1">
      <c r="A12" s="362">
        <v>7</v>
      </c>
      <c r="B12" s="377" t="s">
        <v>386</v>
      </c>
      <c r="C12" s="378"/>
      <c r="D12" s="379">
        <v>1422</v>
      </c>
      <c r="E12" s="379"/>
      <c r="F12" s="380"/>
      <c r="G12" s="381">
        <f t="shared" si="0"/>
        <v>1422</v>
      </c>
    </row>
    <row r="13" spans="1:20" ht="13.5" thickBot="1">
      <c r="A13" s="362">
        <v>8</v>
      </c>
      <c r="B13" s="382" t="s">
        <v>387</v>
      </c>
      <c r="C13" s="383">
        <f>SUM(C7:C12)</f>
        <v>0</v>
      </c>
      <c r="D13" s="383">
        <f t="shared" ref="D13:G13" si="1">SUM(D7:D12)</f>
        <v>1422</v>
      </c>
      <c r="E13" s="383">
        <f t="shared" si="1"/>
        <v>0</v>
      </c>
      <c r="F13" s="383">
        <f t="shared" si="1"/>
        <v>0</v>
      </c>
      <c r="G13" s="384">
        <f t="shared" si="1"/>
        <v>1422</v>
      </c>
    </row>
    <row r="14" spans="1:20" ht="13.5" thickBot="1">
      <c r="A14" s="362">
        <v>9</v>
      </c>
      <c r="B14" s="527"/>
      <c r="C14" s="528"/>
      <c r="D14" s="528"/>
      <c r="E14" s="528"/>
      <c r="F14" s="528"/>
      <c r="G14" s="529"/>
    </row>
    <row r="15" spans="1:20" ht="13.5" thickBot="1">
      <c r="A15" s="362">
        <v>10</v>
      </c>
      <c r="B15" s="523" t="s">
        <v>388</v>
      </c>
      <c r="C15" s="524">
        <v>2024</v>
      </c>
      <c r="D15" s="525">
        <v>2025</v>
      </c>
      <c r="E15" s="525" t="s">
        <v>524</v>
      </c>
      <c r="F15" s="525" t="s">
        <v>391</v>
      </c>
      <c r="G15" s="526" t="s">
        <v>19</v>
      </c>
      <c r="J15" s="264"/>
    </row>
    <row r="16" spans="1:20">
      <c r="A16" s="362">
        <v>11</v>
      </c>
      <c r="B16" s="265" t="s">
        <v>389</v>
      </c>
      <c r="C16" s="387"/>
      <c r="D16" s="364"/>
      <c r="E16" s="364"/>
      <c r="F16" s="364"/>
      <c r="G16" s="371">
        <f>SUM(C16:F16)</f>
        <v>0</v>
      </c>
    </row>
    <row r="17" spans="1:7">
      <c r="A17" s="362">
        <v>12</v>
      </c>
      <c r="B17" s="266" t="s">
        <v>336</v>
      </c>
      <c r="C17" s="388">
        <v>257</v>
      </c>
      <c r="D17" s="389"/>
      <c r="E17" s="389"/>
      <c r="F17" s="389"/>
      <c r="G17" s="371">
        <f>SUM(C17:F17)</f>
        <v>257</v>
      </c>
    </row>
    <row r="18" spans="1:7">
      <c r="A18" s="362">
        <v>13</v>
      </c>
      <c r="B18" s="267" t="s">
        <v>390</v>
      </c>
      <c r="C18" s="391"/>
      <c r="D18" s="369"/>
      <c r="E18" s="369"/>
      <c r="F18" s="369"/>
      <c r="G18" s="371">
        <f t="shared" ref="G18:G19" si="2">SUM(C18:F18)</f>
        <v>0</v>
      </c>
    </row>
    <row r="19" spans="1:7" ht="13.5" thickBot="1">
      <c r="A19" s="362">
        <v>14</v>
      </c>
      <c r="B19" s="308" t="s">
        <v>476</v>
      </c>
      <c r="C19" s="392">
        <v>8173</v>
      </c>
      <c r="D19" s="393"/>
      <c r="E19" s="393"/>
      <c r="F19" s="393"/>
      <c r="G19" s="394">
        <f t="shared" si="2"/>
        <v>8173</v>
      </c>
    </row>
    <row r="20" spans="1:7" ht="13.5" thickBot="1">
      <c r="A20" s="362">
        <v>15</v>
      </c>
      <c r="B20" s="262" t="s">
        <v>66</v>
      </c>
      <c r="C20" s="395">
        <f>SUM(C16:C19)</f>
        <v>8430</v>
      </c>
      <c r="D20" s="395">
        <f t="shared" ref="D20:F20" si="3">SUM(D16:D19)</f>
        <v>0</v>
      </c>
      <c r="E20" s="395">
        <f t="shared" si="3"/>
        <v>0</v>
      </c>
      <c r="F20" s="395">
        <f t="shared" si="3"/>
        <v>0</v>
      </c>
      <c r="G20" s="396">
        <f>SUM(G16:G19)</f>
        <v>8430</v>
      </c>
    </row>
    <row r="21" spans="1:7" ht="15" customHeight="1">
      <c r="A21" s="362">
        <v>16</v>
      </c>
      <c r="B21" s="326"/>
      <c r="C21" s="342"/>
      <c r="D21" s="342"/>
      <c r="E21" s="342"/>
      <c r="F21" s="342"/>
      <c r="G21" s="397"/>
    </row>
    <row r="22" spans="1:7" ht="15" customHeight="1">
      <c r="A22" s="362">
        <v>17</v>
      </c>
      <c r="B22" s="326"/>
      <c r="C22" s="342"/>
      <c r="D22" s="342"/>
      <c r="E22" s="342"/>
      <c r="F22" s="342"/>
      <c r="G22" s="397"/>
    </row>
    <row r="23" spans="1:7" ht="15.75" customHeight="1">
      <c r="A23" s="362">
        <v>18</v>
      </c>
      <c r="B23" s="269" t="s">
        <v>379</v>
      </c>
      <c r="C23" s="883" t="s">
        <v>437</v>
      </c>
      <c r="D23" s="883"/>
      <c r="E23" s="883"/>
      <c r="F23" s="883"/>
      <c r="G23" s="884"/>
    </row>
    <row r="24" spans="1:7" ht="13.5" thickBot="1">
      <c r="A24" s="362">
        <v>19</v>
      </c>
      <c r="B24" s="270"/>
      <c r="C24" s="398"/>
      <c r="D24" s="399"/>
      <c r="E24" s="399"/>
      <c r="F24" s="871" t="s">
        <v>56</v>
      </c>
      <c r="G24" s="872"/>
    </row>
    <row r="25" spans="1:7" ht="13.5" thickBot="1">
      <c r="A25" s="362">
        <v>20</v>
      </c>
      <c r="B25" s="421" t="s">
        <v>380</v>
      </c>
      <c r="C25" s="422">
        <v>2024</v>
      </c>
      <c r="D25" s="423">
        <v>2025</v>
      </c>
      <c r="E25" s="423" t="s">
        <v>524</v>
      </c>
      <c r="F25" s="423"/>
      <c r="G25" s="424" t="s">
        <v>19</v>
      </c>
    </row>
    <row r="26" spans="1:7">
      <c r="A26" s="362">
        <v>21</v>
      </c>
      <c r="B26" s="257" t="s">
        <v>381</v>
      </c>
      <c r="C26" s="400"/>
      <c r="D26" s="401"/>
      <c r="E26" s="402"/>
      <c r="F26" s="403">
        <v>0</v>
      </c>
      <c r="G26" s="367">
        <f>SUM(C26:E26)</f>
        <v>0</v>
      </c>
    </row>
    <row r="27" spans="1:7">
      <c r="A27" s="362">
        <v>22</v>
      </c>
      <c r="B27" s="258" t="s">
        <v>382</v>
      </c>
      <c r="C27" s="404"/>
      <c r="D27" s="405"/>
      <c r="E27" s="405"/>
      <c r="F27" s="406"/>
      <c r="G27" s="371">
        <f t="shared" ref="G27:G30" si="4">SUM(C27:E27)</f>
        <v>0</v>
      </c>
    </row>
    <row r="28" spans="1:7">
      <c r="A28" s="362">
        <v>23</v>
      </c>
      <c r="B28" s="259" t="s">
        <v>383</v>
      </c>
      <c r="C28" s="407"/>
      <c r="D28" s="408"/>
      <c r="E28" s="405"/>
      <c r="F28" s="409"/>
      <c r="G28" s="371">
        <f t="shared" si="4"/>
        <v>0</v>
      </c>
    </row>
    <row r="29" spans="1:7">
      <c r="A29" s="362">
        <v>24</v>
      </c>
      <c r="B29" s="260" t="s">
        <v>384</v>
      </c>
      <c r="C29" s="410"/>
      <c r="D29" s="405"/>
      <c r="E29" s="405"/>
      <c r="F29" s="411"/>
      <c r="G29" s="371">
        <f t="shared" si="4"/>
        <v>0</v>
      </c>
    </row>
    <row r="30" spans="1:7">
      <c r="A30" s="362">
        <v>25</v>
      </c>
      <c r="B30" s="259" t="s">
        <v>385</v>
      </c>
      <c r="C30" s="407"/>
      <c r="D30" s="412"/>
      <c r="E30" s="412"/>
      <c r="F30" s="413"/>
      <c r="G30" s="371">
        <f t="shared" si="4"/>
        <v>0</v>
      </c>
    </row>
    <row r="31" spans="1:7" ht="13.5" thickBot="1">
      <c r="A31" s="362">
        <v>26</v>
      </c>
      <c r="B31" s="377" t="s">
        <v>386</v>
      </c>
      <c r="C31" s="414"/>
      <c r="D31" s="415"/>
      <c r="E31" s="415"/>
      <c r="F31" s="416"/>
      <c r="G31" s="381">
        <f>SUM(C31:F31)</f>
        <v>0</v>
      </c>
    </row>
    <row r="32" spans="1:7" ht="13.5" thickBot="1">
      <c r="A32" s="362">
        <v>27</v>
      </c>
      <c r="B32" s="262" t="s">
        <v>387</v>
      </c>
      <c r="C32" s="417">
        <f>SUM(C26:C31)</f>
        <v>0</v>
      </c>
      <c r="D32" s="417">
        <v>0</v>
      </c>
      <c r="E32" s="417">
        <v>0</v>
      </c>
      <c r="F32" s="418"/>
      <c r="G32" s="419">
        <f>SUM(G26:G31)</f>
        <v>0</v>
      </c>
    </row>
    <row r="33" spans="1:7" ht="13.5" thickBot="1">
      <c r="A33" s="362">
        <v>28</v>
      </c>
      <c r="B33" s="263"/>
      <c r="C33" s="341"/>
      <c r="D33" s="341"/>
      <c r="E33" s="341"/>
      <c r="F33" s="341"/>
      <c r="G33" s="420"/>
    </row>
    <row r="34" spans="1:7" ht="13.5" thickBot="1">
      <c r="A34" s="362">
        <v>29</v>
      </c>
      <c r="B34" s="421" t="s">
        <v>388</v>
      </c>
      <c r="C34" s="422">
        <v>2024</v>
      </c>
      <c r="D34" s="423">
        <v>2025</v>
      </c>
      <c r="E34" s="423" t="s">
        <v>524</v>
      </c>
      <c r="F34" s="423"/>
      <c r="G34" s="424" t="s">
        <v>19</v>
      </c>
    </row>
    <row r="35" spans="1:7">
      <c r="A35" s="362">
        <v>30</v>
      </c>
      <c r="B35" s="266" t="s">
        <v>389</v>
      </c>
      <c r="C35" s="427">
        <f>668+770</f>
        <v>1438</v>
      </c>
      <c r="D35" s="344"/>
      <c r="E35" s="344"/>
      <c r="F35" s="425"/>
      <c r="G35" s="426">
        <f>SUM(C35:F35)</f>
        <v>1438</v>
      </c>
    </row>
    <row r="36" spans="1:7">
      <c r="A36" s="362">
        <v>31</v>
      </c>
      <c r="B36" s="266" t="s">
        <v>336</v>
      </c>
      <c r="C36" s="427"/>
      <c r="D36" s="344"/>
      <c r="E36" s="344"/>
      <c r="F36" s="425"/>
      <c r="G36" s="371">
        <f>SUM(C36:F36)</f>
        <v>0</v>
      </c>
    </row>
    <row r="37" spans="1:7">
      <c r="A37" s="362">
        <v>32</v>
      </c>
      <c r="B37" s="267" t="s">
        <v>390</v>
      </c>
      <c r="C37" s="428"/>
      <c r="D37" s="429"/>
      <c r="E37" s="430"/>
      <c r="F37" s="431"/>
      <c r="G37" s="371">
        <f>SUM(C37:F37)</f>
        <v>0</v>
      </c>
    </row>
    <row r="38" spans="1:7" ht="13.5" thickBot="1">
      <c r="A38" s="362">
        <v>33</v>
      </c>
      <c r="B38" s="271" t="s">
        <v>476</v>
      </c>
      <c r="C38" s="432">
        <v>0</v>
      </c>
      <c r="D38" s="433">
        <v>0</v>
      </c>
      <c r="E38" s="433">
        <v>0</v>
      </c>
      <c r="F38" s="434"/>
      <c r="G38" s="371">
        <f>SUM(C38:E38)</f>
        <v>0</v>
      </c>
    </row>
    <row r="39" spans="1:7" ht="13.5" thickBot="1">
      <c r="A39" s="362">
        <v>34</v>
      </c>
      <c r="B39" s="262" t="s">
        <v>66</v>
      </c>
      <c r="C39" s="435">
        <f>SUM(C35:C37)</f>
        <v>1438</v>
      </c>
      <c r="D39" s="436">
        <f>SUM(D35:D38)</f>
        <v>0</v>
      </c>
      <c r="E39" s="436">
        <f>SUM(E35:E38)</f>
        <v>0</v>
      </c>
      <c r="F39" s="435">
        <f t="shared" ref="F39" si="5">SUM(F35:F37)</f>
        <v>0</v>
      </c>
      <c r="G39" s="437">
        <f>SUM(G35:G38)</f>
        <v>1438</v>
      </c>
    </row>
    <row r="40" spans="1:7">
      <c r="A40" s="362">
        <v>35</v>
      </c>
      <c r="B40" s="268"/>
      <c r="G40" s="438"/>
    </row>
    <row r="41" spans="1:7">
      <c r="A41" s="362">
        <v>36</v>
      </c>
      <c r="B41" s="268"/>
      <c r="G41" s="438"/>
    </row>
    <row r="42" spans="1:7" ht="26.25" customHeight="1">
      <c r="A42" s="362">
        <v>37</v>
      </c>
      <c r="B42" s="269" t="s">
        <v>379</v>
      </c>
      <c r="C42" s="869" t="s">
        <v>438</v>
      </c>
      <c r="D42" s="869"/>
      <c r="E42" s="869"/>
      <c r="F42" s="869"/>
      <c r="G42" s="870"/>
    </row>
    <row r="43" spans="1:7" ht="13.5" thickBot="1">
      <c r="A43" s="362">
        <v>38</v>
      </c>
      <c r="B43" s="270"/>
      <c r="C43" s="398"/>
      <c r="D43" s="399"/>
      <c r="E43" s="399"/>
      <c r="F43" s="871" t="s">
        <v>56</v>
      </c>
      <c r="G43" s="872"/>
    </row>
    <row r="44" spans="1:7" ht="13.5" thickBot="1">
      <c r="A44" s="362">
        <v>39</v>
      </c>
      <c r="B44" s="421" t="s">
        <v>380</v>
      </c>
      <c r="C44" s="422">
        <v>2024</v>
      </c>
      <c r="D44" s="423">
        <v>2025</v>
      </c>
      <c r="E44" s="423" t="s">
        <v>524</v>
      </c>
      <c r="F44" s="423"/>
      <c r="G44" s="424" t="s">
        <v>19</v>
      </c>
    </row>
    <row r="45" spans="1:7">
      <c r="A45" s="362">
        <v>40</v>
      </c>
      <c r="B45" s="257" t="s">
        <v>381</v>
      </c>
      <c r="C45" s="400"/>
      <c r="D45" s="401"/>
      <c r="E45" s="402"/>
      <c r="F45" s="403">
        <v>0</v>
      </c>
      <c r="G45" s="367">
        <f>SUM(C45:E45)</f>
        <v>0</v>
      </c>
    </row>
    <row r="46" spans="1:7">
      <c r="A46" s="362">
        <v>41</v>
      </c>
      <c r="B46" s="258" t="s">
        <v>382</v>
      </c>
      <c r="C46" s="404"/>
      <c r="D46" s="405"/>
      <c r="E46" s="405"/>
      <c r="F46" s="406"/>
      <c r="G46" s="371">
        <f t="shared" ref="G46:G49" si="6">SUM(C46:E46)</f>
        <v>0</v>
      </c>
    </row>
    <row r="47" spans="1:7">
      <c r="A47" s="362">
        <v>42</v>
      </c>
      <c r="B47" s="259" t="s">
        <v>383</v>
      </c>
      <c r="C47" s="407"/>
      <c r="D47" s="530">
        <v>18593</v>
      </c>
      <c r="E47" s="405"/>
      <c r="F47" s="409"/>
      <c r="G47" s="371">
        <f t="shared" si="6"/>
        <v>18593</v>
      </c>
    </row>
    <row r="48" spans="1:7">
      <c r="A48" s="362">
        <v>43</v>
      </c>
      <c r="B48" s="260" t="s">
        <v>384</v>
      </c>
      <c r="C48" s="410"/>
      <c r="D48" s="531"/>
      <c r="E48" s="405"/>
      <c r="F48" s="411"/>
      <c r="G48" s="371">
        <f t="shared" si="6"/>
        <v>0</v>
      </c>
    </row>
    <row r="49" spans="1:7">
      <c r="A49" s="362">
        <v>44</v>
      </c>
      <c r="B49" s="259" t="s">
        <v>385</v>
      </c>
      <c r="C49" s="407"/>
      <c r="D49" s="532"/>
      <c r="E49" s="412"/>
      <c r="F49" s="413"/>
      <c r="G49" s="371">
        <f t="shared" si="6"/>
        <v>0</v>
      </c>
    </row>
    <row r="50" spans="1:7" ht="13.5" thickBot="1">
      <c r="A50" s="362">
        <v>45</v>
      </c>
      <c r="B50" s="377" t="s">
        <v>386</v>
      </c>
      <c r="C50" s="414"/>
      <c r="D50" s="533"/>
      <c r="E50" s="415"/>
      <c r="F50" s="416"/>
      <c r="G50" s="381">
        <f>SUM(C50:F50)</f>
        <v>0</v>
      </c>
    </row>
    <row r="51" spans="1:7" ht="13.5" thickBot="1">
      <c r="A51" s="362">
        <v>46</v>
      </c>
      <c r="B51" s="262" t="s">
        <v>387</v>
      </c>
      <c r="C51" s="417">
        <f>SUM(C45:C50)</f>
        <v>0</v>
      </c>
      <c r="D51" s="534">
        <f>SUM(D45:D50)</f>
        <v>18593</v>
      </c>
      <c r="E51" s="417">
        <v>0</v>
      </c>
      <c r="F51" s="418"/>
      <c r="G51" s="535">
        <f>SUM(G45:G50)</f>
        <v>18593</v>
      </c>
    </row>
    <row r="52" spans="1:7" ht="13.5" thickBot="1">
      <c r="A52" s="362">
        <v>47</v>
      </c>
      <c r="B52" s="263"/>
      <c r="C52" s="341"/>
      <c r="D52" s="341"/>
      <c r="E52" s="341"/>
      <c r="F52" s="341"/>
      <c r="G52" s="420"/>
    </row>
    <row r="53" spans="1:7" ht="13.5" thickBot="1">
      <c r="A53" s="362">
        <v>48</v>
      </c>
      <c r="B53" s="421" t="s">
        <v>388</v>
      </c>
      <c r="C53" s="422">
        <v>2024</v>
      </c>
      <c r="D53" s="423">
        <v>2025</v>
      </c>
      <c r="E53" s="423" t="s">
        <v>524</v>
      </c>
      <c r="F53" s="423"/>
      <c r="G53" s="424" t="s">
        <v>19</v>
      </c>
    </row>
    <row r="54" spans="1:7">
      <c r="A54" s="362">
        <v>49</v>
      </c>
      <c r="B54" s="266" t="s">
        <v>389</v>
      </c>
      <c r="C54" s="343"/>
      <c r="D54" s="344"/>
      <c r="E54" s="344"/>
      <c r="F54" s="425"/>
      <c r="G54" s="426">
        <f>SUM(C54:F54)</f>
        <v>0</v>
      </c>
    </row>
    <row r="55" spans="1:7">
      <c r="A55" s="362">
        <v>50</v>
      </c>
      <c r="B55" s="266" t="s">
        <v>336</v>
      </c>
      <c r="C55" s="427">
        <v>2</v>
      </c>
      <c r="D55" s="344"/>
      <c r="E55" s="344"/>
      <c r="F55" s="425"/>
      <c r="G55" s="371">
        <f>SUM(C55:F55)</f>
        <v>2</v>
      </c>
    </row>
    <row r="56" spans="1:7">
      <c r="A56" s="362">
        <v>51</v>
      </c>
      <c r="B56" s="267" t="s">
        <v>390</v>
      </c>
      <c r="C56" s="428"/>
      <c r="D56" s="429"/>
      <c r="E56" s="430"/>
      <c r="F56" s="431"/>
      <c r="G56" s="371">
        <f>SUM(C56:F56)</f>
        <v>0</v>
      </c>
    </row>
    <row r="57" spans="1:7" ht="13.5" thickBot="1">
      <c r="A57" s="362">
        <v>52</v>
      </c>
      <c r="B57" s="271" t="s">
        <v>476</v>
      </c>
      <c r="C57" s="432"/>
      <c r="D57" s="433">
        <v>74708</v>
      </c>
      <c r="E57" s="433">
        <v>0</v>
      </c>
      <c r="F57" s="434"/>
      <c r="G57" s="371">
        <f>SUM(C57:E57)</f>
        <v>74708</v>
      </c>
    </row>
    <row r="58" spans="1:7" ht="13.5" thickBot="1">
      <c r="A58" s="362">
        <v>53</v>
      </c>
      <c r="B58" s="262" t="s">
        <v>66</v>
      </c>
      <c r="C58" s="435">
        <f>SUM(C54:C57)</f>
        <v>2</v>
      </c>
      <c r="D58" s="435">
        <f>SUM(D54:D57)</f>
        <v>74708</v>
      </c>
      <c r="E58" s="436">
        <f>SUM(E54:E57)</f>
        <v>0</v>
      </c>
      <c r="F58" s="435">
        <f t="shared" ref="F58" si="7">SUM(F54:F56)</f>
        <v>0</v>
      </c>
      <c r="G58" s="437">
        <f>SUM(G54:G57)</f>
        <v>74710</v>
      </c>
    </row>
    <row r="59" spans="1:7">
      <c r="A59" s="362">
        <v>54</v>
      </c>
      <c r="B59" s="268"/>
      <c r="G59" s="438"/>
    </row>
    <row r="60" spans="1:7">
      <c r="A60" s="362">
        <v>55</v>
      </c>
      <c r="B60" s="268"/>
      <c r="G60" s="438"/>
    </row>
    <row r="61" spans="1:7" ht="12.75" customHeight="1">
      <c r="A61" s="362">
        <v>56</v>
      </c>
      <c r="B61" s="269" t="s">
        <v>379</v>
      </c>
      <c r="C61" s="869" t="s">
        <v>411</v>
      </c>
      <c r="D61" s="869"/>
      <c r="E61" s="869"/>
      <c r="F61" s="869"/>
      <c r="G61" s="870"/>
    </row>
    <row r="62" spans="1:7" ht="13.5" thickBot="1">
      <c r="A62" s="362">
        <v>57</v>
      </c>
      <c r="B62" s="270"/>
      <c r="C62" s="399"/>
      <c r="D62" s="399"/>
      <c r="E62" s="399"/>
      <c r="F62" s="871" t="s">
        <v>56</v>
      </c>
      <c r="G62" s="872"/>
    </row>
    <row r="63" spans="1:7" ht="13.5" thickBot="1">
      <c r="A63" s="362">
        <v>58</v>
      </c>
      <c r="B63" s="421" t="s">
        <v>380</v>
      </c>
      <c r="C63" s="422">
        <v>2024</v>
      </c>
      <c r="D63" s="423">
        <v>2025</v>
      </c>
      <c r="E63" s="423" t="s">
        <v>524</v>
      </c>
      <c r="F63" s="423"/>
      <c r="G63" s="424" t="s">
        <v>19</v>
      </c>
    </row>
    <row r="64" spans="1:7">
      <c r="A64" s="362">
        <v>59</v>
      </c>
      <c r="B64" s="257" t="s">
        <v>381</v>
      </c>
      <c r="C64" s="345"/>
      <c r="D64" s="333"/>
      <c r="E64" s="334"/>
      <c r="F64" s="334">
        <v>0</v>
      </c>
      <c r="G64" s="367">
        <v>0</v>
      </c>
    </row>
    <row r="65" spans="1:7">
      <c r="A65" s="362">
        <v>60</v>
      </c>
      <c r="B65" s="258" t="s">
        <v>382</v>
      </c>
      <c r="C65" s="346"/>
      <c r="D65" s="335"/>
      <c r="E65" s="335"/>
      <c r="F65" s="335"/>
      <c r="G65" s="371">
        <v>0</v>
      </c>
    </row>
    <row r="66" spans="1:7">
      <c r="A66" s="362">
        <v>61</v>
      </c>
      <c r="B66" s="259" t="s">
        <v>383</v>
      </c>
      <c r="C66" s="488">
        <v>208255</v>
      </c>
      <c r="D66" s="337"/>
      <c r="E66" s="335"/>
      <c r="G66" s="371">
        <f>SUM(C66:E66)</f>
        <v>208255</v>
      </c>
    </row>
    <row r="67" spans="1:7">
      <c r="A67" s="362">
        <v>62</v>
      </c>
      <c r="B67" s="260" t="s">
        <v>384</v>
      </c>
      <c r="C67" s="348"/>
      <c r="D67" s="335"/>
      <c r="E67" s="335"/>
      <c r="F67" s="337"/>
      <c r="G67" s="371">
        <v>0</v>
      </c>
    </row>
    <row r="68" spans="1:7">
      <c r="A68" s="362">
        <v>63</v>
      </c>
      <c r="B68" s="259" t="s">
        <v>385</v>
      </c>
      <c r="C68" s="347"/>
      <c r="D68" s="339"/>
      <c r="E68" s="339"/>
      <c r="F68" s="339"/>
      <c r="G68" s="371">
        <v>0</v>
      </c>
    </row>
    <row r="69" spans="1:7" ht="13.5" thickBot="1">
      <c r="A69" s="362">
        <v>64</v>
      </c>
      <c r="B69" s="261" t="s">
        <v>386</v>
      </c>
      <c r="C69" s="439"/>
      <c r="D69" s="440"/>
      <c r="E69" s="340"/>
      <c r="F69" s="340"/>
      <c r="G69" s="441">
        <f>SUM(C69:F69)</f>
        <v>0</v>
      </c>
    </row>
    <row r="70" spans="1:7" ht="13.5" thickBot="1">
      <c r="A70" s="362">
        <v>65</v>
      </c>
      <c r="B70" s="262" t="s">
        <v>387</v>
      </c>
      <c r="C70" s="442">
        <f>SUM(C64:C69)</f>
        <v>208255</v>
      </c>
      <c r="D70" s="443">
        <v>0</v>
      </c>
      <c r="E70" s="444">
        <v>0</v>
      </c>
      <c r="F70" s="349"/>
      <c r="G70" s="535">
        <f>SUM(G64:G69)</f>
        <v>208255</v>
      </c>
    </row>
    <row r="71" spans="1:7" ht="13.5" thickBot="1">
      <c r="A71" s="362">
        <v>66</v>
      </c>
      <c r="B71" s="263"/>
      <c r="C71" s="341"/>
      <c r="D71" s="341"/>
      <c r="E71" s="341"/>
      <c r="F71" s="341"/>
      <c r="G71" s="420"/>
    </row>
    <row r="72" spans="1:7" ht="13.5" thickBot="1">
      <c r="A72" s="362">
        <v>67</v>
      </c>
      <c r="B72" s="421" t="s">
        <v>388</v>
      </c>
      <c r="C72" s="422">
        <v>2024</v>
      </c>
      <c r="D72" s="423">
        <v>2025</v>
      </c>
      <c r="E72" s="423" t="s">
        <v>524</v>
      </c>
      <c r="F72" s="423"/>
      <c r="G72" s="424" t="s">
        <v>19</v>
      </c>
    </row>
    <row r="73" spans="1:7">
      <c r="A73" s="362">
        <v>68</v>
      </c>
      <c r="B73" s="265" t="s">
        <v>389</v>
      </c>
      <c r="C73" s="536"/>
      <c r="D73" s="445"/>
      <c r="E73" s="445"/>
      <c r="F73" s="446"/>
      <c r="G73" s="367">
        <f>SUM(C73:F73)</f>
        <v>0</v>
      </c>
    </row>
    <row r="74" spans="1:7">
      <c r="A74" s="362">
        <v>69</v>
      </c>
      <c r="B74" s="266" t="s">
        <v>336</v>
      </c>
      <c r="C74" s="447">
        <v>147</v>
      </c>
      <c r="D74" s="448"/>
      <c r="E74" s="449"/>
      <c r="F74" s="450"/>
      <c r="G74" s="451">
        <f>SUM(C74:F74)</f>
        <v>147</v>
      </c>
    </row>
    <row r="75" spans="1:7">
      <c r="A75" s="362">
        <v>70</v>
      </c>
      <c r="B75" s="267" t="s">
        <v>390</v>
      </c>
      <c r="C75" s="428"/>
      <c r="D75" s="452"/>
      <c r="E75" s="453"/>
      <c r="F75" s="454"/>
      <c r="G75" s="371">
        <f>SUM(C75:E75)</f>
        <v>0</v>
      </c>
    </row>
    <row r="76" spans="1:7" ht="13.5" thickBot="1">
      <c r="A76" s="362">
        <v>71</v>
      </c>
      <c r="B76" s="308" t="s">
        <v>476</v>
      </c>
      <c r="C76" s="537"/>
      <c r="D76" s="455"/>
      <c r="E76" s="456"/>
      <c r="F76" s="457"/>
      <c r="G76" s="371">
        <f>SUM(C76:E76)</f>
        <v>0</v>
      </c>
    </row>
    <row r="77" spans="1:7" ht="13.5" thickBot="1">
      <c r="A77" s="362">
        <v>72</v>
      </c>
      <c r="B77" s="262" t="s">
        <v>66</v>
      </c>
      <c r="C77" s="458">
        <f>SUM(C73:C76)</f>
        <v>147</v>
      </c>
      <c r="D77" s="458">
        <f t="shared" ref="D77:G77" si="8">SUM(D73:D76)</f>
        <v>0</v>
      </c>
      <c r="E77" s="458">
        <f t="shared" si="8"/>
        <v>0</v>
      </c>
      <c r="F77" s="458">
        <f t="shared" si="8"/>
        <v>0</v>
      </c>
      <c r="G77" s="459">
        <f t="shared" si="8"/>
        <v>147</v>
      </c>
    </row>
    <row r="78" spans="1:7">
      <c r="A78" s="362">
        <v>73</v>
      </c>
      <c r="B78" s="268"/>
      <c r="G78" s="438"/>
    </row>
    <row r="79" spans="1:7">
      <c r="A79" s="362">
        <v>74</v>
      </c>
      <c r="B79" s="268"/>
      <c r="G79" s="438"/>
    </row>
    <row r="80" spans="1:7" ht="25.5" customHeight="1">
      <c r="A80" s="362">
        <v>75</v>
      </c>
      <c r="B80" s="269" t="s">
        <v>393</v>
      </c>
      <c r="C80" s="869" t="s">
        <v>412</v>
      </c>
      <c r="D80" s="869"/>
      <c r="E80" s="869"/>
      <c r="F80" s="869"/>
      <c r="G80" s="870"/>
    </row>
    <row r="81" spans="1:7" ht="13.5" thickBot="1">
      <c r="A81" s="362">
        <v>76</v>
      </c>
      <c r="B81" s="270"/>
      <c r="C81" s="399"/>
      <c r="D81" s="399"/>
      <c r="E81" s="399"/>
      <c r="F81" s="871" t="s">
        <v>56</v>
      </c>
      <c r="G81" s="872"/>
    </row>
    <row r="82" spans="1:7" ht="13.5" thickBot="1">
      <c r="A82" s="362">
        <v>77</v>
      </c>
      <c r="B82" s="421" t="s">
        <v>380</v>
      </c>
      <c r="C82" s="422">
        <v>2024</v>
      </c>
      <c r="D82" s="423">
        <v>2025</v>
      </c>
      <c r="E82" s="423" t="s">
        <v>524</v>
      </c>
      <c r="F82" s="423"/>
      <c r="G82" s="424" t="s">
        <v>19</v>
      </c>
    </row>
    <row r="83" spans="1:7">
      <c r="A83" s="362">
        <v>78</v>
      </c>
      <c r="B83" s="538" t="s">
        <v>381</v>
      </c>
      <c r="C83" s="539"/>
      <c r="D83" s="540"/>
      <c r="E83" s="541"/>
      <c r="F83" s="541">
        <v>0</v>
      </c>
      <c r="G83" s="426">
        <v>0</v>
      </c>
    </row>
    <row r="84" spans="1:7">
      <c r="A84" s="362">
        <v>79</v>
      </c>
      <c r="B84" s="258" t="s">
        <v>382</v>
      </c>
      <c r="C84" s="350"/>
      <c r="D84" s="335"/>
      <c r="E84" s="335"/>
      <c r="F84" s="335"/>
      <c r="G84" s="371">
        <v>0</v>
      </c>
    </row>
    <row r="85" spans="1:7">
      <c r="A85" s="362">
        <v>80</v>
      </c>
      <c r="B85" s="259" t="s">
        <v>383</v>
      </c>
      <c r="C85" s="460"/>
      <c r="D85" s="337"/>
      <c r="E85" s="335"/>
      <c r="G85" s="371">
        <f>SUM(C85:F85)</f>
        <v>0</v>
      </c>
    </row>
    <row r="86" spans="1:7">
      <c r="A86" s="362">
        <v>81</v>
      </c>
      <c r="B86" s="260" t="s">
        <v>384</v>
      </c>
      <c r="C86" s="351"/>
      <c r="D86" s="335"/>
      <c r="E86" s="335"/>
      <c r="F86" s="337"/>
      <c r="G86" s="371">
        <f>SUM(D86:F86)</f>
        <v>0</v>
      </c>
    </row>
    <row r="87" spans="1:7">
      <c r="A87" s="362">
        <v>82</v>
      </c>
      <c r="B87" s="259" t="s">
        <v>385</v>
      </c>
      <c r="C87" s="352"/>
      <c r="D87" s="339"/>
      <c r="E87" s="339"/>
      <c r="F87" s="339"/>
      <c r="G87" s="371">
        <v>0</v>
      </c>
    </row>
    <row r="88" spans="1:7" ht="13.5" thickBot="1">
      <c r="A88" s="362">
        <v>83</v>
      </c>
      <c r="B88" s="377" t="s">
        <v>386</v>
      </c>
      <c r="C88" s="353"/>
      <c r="D88" s="461"/>
      <c r="E88" s="461"/>
      <c r="F88" s="461"/>
      <c r="G88" s="381">
        <v>0</v>
      </c>
    </row>
    <row r="89" spans="1:7" ht="13.5" thickBot="1">
      <c r="A89" s="362">
        <v>84</v>
      </c>
      <c r="B89" s="262" t="s">
        <v>387</v>
      </c>
      <c r="C89" s="592">
        <f>SUM(C83:C88)</f>
        <v>0</v>
      </c>
      <c r="D89" s="591">
        <f>SUM(D83:D88)</f>
        <v>0</v>
      </c>
      <c r="E89" s="444">
        <v>0</v>
      </c>
      <c r="F89" s="349"/>
      <c r="G89" s="419">
        <f>SUM(G83:G88)</f>
        <v>0</v>
      </c>
    </row>
    <row r="90" spans="1:7" ht="13.5" thickBot="1">
      <c r="A90" s="362">
        <v>85</v>
      </c>
      <c r="B90" s="263"/>
      <c r="C90" s="341"/>
      <c r="D90" s="341"/>
      <c r="E90" s="341"/>
      <c r="F90" s="341"/>
      <c r="G90" s="420"/>
    </row>
    <row r="91" spans="1:7" ht="13.5" thickBot="1">
      <c r="A91" s="362">
        <v>86</v>
      </c>
      <c r="B91" s="421" t="s">
        <v>388</v>
      </c>
      <c r="C91" s="422">
        <v>2024</v>
      </c>
      <c r="D91" s="423">
        <v>2025</v>
      </c>
      <c r="E91" s="423" t="s">
        <v>524</v>
      </c>
      <c r="F91" s="423"/>
      <c r="G91" s="424" t="s">
        <v>19</v>
      </c>
    </row>
    <row r="92" spans="1:7">
      <c r="A92" s="362">
        <v>87</v>
      </c>
      <c r="B92" s="266" t="s">
        <v>389</v>
      </c>
      <c r="C92" s="447"/>
      <c r="D92" s="449"/>
      <c r="E92" s="449"/>
      <c r="F92" s="462"/>
      <c r="G92" s="426">
        <f>SUM(C92:F92)</f>
        <v>0</v>
      </c>
    </row>
    <row r="93" spans="1:7">
      <c r="A93" s="362">
        <v>88</v>
      </c>
      <c r="B93" s="266" t="s">
        <v>336</v>
      </c>
      <c r="C93" s="447"/>
      <c r="D93" s="449"/>
      <c r="E93" s="449"/>
      <c r="F93" s="462"/>
      <c r="G93" s="371">
        <f>SUM(C93:F93)</f>
        <v>0</v>
      </c>
    </row>
    <row r="94" spans="1:7">
      <c r="A94" s="362">
        <v>89</v>
      </c>
      <c r="B94" s="267" t="s">
        <v>390</v>
      </c>
      <c r="C94" s="428"/>
      <c r="D94" s="452"/>
      <c r="E94" s="453"/>
      <c r="F94" s="454"/>
      <c r="G94" s="371">
        <f t="shared" ref="G94:G95" si="9">SUM(C94:F94)</f>
        <v>0</v>
      </c>
    </row>
    <row r="95" spans="1:7" ht="13.5" thickBot="1">
      <c r="A95" s="362">
        <v>90</v>
      </c>
      <c r="B95" s="271" t="s">
        <v>476</v>
      </c>
      <c r="C95" s="432">
        <v>1392</v>
      </c>
      <c r="D95" s="463"/>
      <c r="E95" s="464"/>
      <c r="F95" s="465"/>
      <c r="G95" s="451">
        <f t="shared" si="9"/>
        <v>1392</v>
      </c>
    </row>
    <row r="96" spans="1:7" ht="13.5" thickBot="1">
      <c r="A96" s="362">
        <v>91</v>
      </c>
      <c r="B96" s="262" t="s">
        <v>66</v>
      </c>
      <c r="C96" s="458">
        <f>SUM(C92:C95)</f>
        <v>1392</v>
      </c>
      <c r="D96" s="458">
        <f t="shared" ref="D96:G96" si="10">SUM(D92:D95)</f>
        <v>0</v>
      </c>
      <c r="E96" s="458">
        <f t="shared" si="10"/>
        <v>0</v>
      </c>
      <c r="F96" s="458">
        <f t="shared" si="10"/>
        <v>0</v>
      </c>
      <c r="G96" s="459">
        <f t="shared" si="10"/>
        <v>1392</v>
      </c>
    </row>
    <row r="97" spans="1:7">
      <c r="A97" s="362">
        <v>92</v>
      </c>
      <c r="B97" s="268"/>
      <c r="G97" s="438"/>
    </row>
    <row r="98" spans="1:7">
      <c r="A98" s="362">
        <v>93</v>
      </c>
      <c r="B98" s="268"/>
      <c r="G98" s="438"/>
    </row>
    <row r="99" spans="1:7" ht="26.25" customHeight="1">
      <c r="A99" s="362">
        <v>94</v>
      </c>
      <c r="B99" s="269" t="s">
        <v>379</v>
      </c>
      <c r="C99" s="869" t="s">
        <v>439</v>
      </c>
      <c r="D99" s="869"/>
      <c r="E99" s="869"/>
      <c r="F99" s="869"/>
      <c r="G99" s="870"/>
    </row>
    <row r="100" spans="1:7" ht="13.5" thickBot="1">
      <c r="A100" s="362">
        <v>95</v>
      </c>
      <c r="B100" s="270"/>
      <c r="C100" s="399"/>
      <c r="D100" s="399"/>
      <c r="E100" s="399"/>
      <c r="F100" s="871" t="s">
        <v>56</v>
      </c>
      <c r="G100" s="872"/>
    </row>
    <row r="101" spans="1:7" ht="13.5" thickBot="1">
      <c r="A101" s="362">
        <v>96</v>
      </c>
      <c r="B101" s="421" t="s">
        <v>380</v>
      </c>
      <c r="C101" s="422">
        <v>2024</v>
      </c>
      <c r="D101" s="423">
        <v>2025</v>
      </c>
      <c r="E101" s="423" t="s">
        <v>524</v>
      </c>
      <c r="F101" s="423"/>
      <c r="G101" s="424" t="s">
        <v>19</v>
      </c>
    </row>
    <row r="102" spans="1:7">
      <c r="A102" s="362">
        <v>97</v>
      </c>
      <c r="B102" s="538" t="s">
        <v>381</v>
      </c>
      <c r="C102" s="539"/>
      <c r="D102" s="540"/>
      <c r="E102" s="541"/>
      <c r="F102" s="541">
        <v>0</v>
      </c>
      <c r="G102" s="426">
        <f>SUM(C102:E102)</f>
        <v>0</v>
      </c>
    </row>
    <row r="103" spans="1:7">
      <c r="A103" s="362">
        <v>98</v>
      </c>
      <c r="B103" s="258" t="s">
        <v>382</v>
      </c>
      <c r="C103" s="350"/>
      <c r="D103" s="335"/>
      <c r="E103" s="335"/>
      <c r="F103" s="335"/>
      <c r="G103" s="371">
        <f>SUM(C103:E103)</f>
        <v>0</v>
      </c>
    </row>
    <row r="104" spans="1:7">
      <c r="A104" s="362">
        <v>99</v>
      </c>
      <c r="B104" s="259" t="s">
        <v>383</v>
      </c>
      <c r="C104" s="336"/>
      <c r="D104" s="466"/>
      <c r="E104" s="335"/>
      <c r="G104" s="371">
        <f t="shared" ref="G104:G107" si="11">SUM(C104:E104)</f>
        <v>0</v>
      </c>
    </row>
    <row r="105" spans="1:7">
      <c r="A105" s="362">
        <v>100</v>
      </c>
      <c r="B105" s="260" t="s">
        <v>384</v>
      </c>
      <c r="C105" s="338"/>
      <c r="D105" s="335"/>
      <c r="E105" s="335"/>
      <c r="F105" s="337"/>
      <c r="G105" s="371">
        <f t="shared" si="11"/>
        <v>0</v>
      </c>
    </row>
    <row r="106" spans="1:7">
      <c r="A106" s="362">
        <v>101</v>
      </c>
      <c r="B106" s="259" t="s">
        <v>385</v>
      </c>
      <c r="C106" s="336"/>
      <c r="D106" s="339"/>
      <c r="E106" s="339"/>
      <c r="F106" s="339"/>
      <c r="G106" s="371">
        <f t="shared" si="11"/>
        <v>0</v>
      </c>
    </row>
    <row r="107" spans="1:7" ht="13.5" thickBot="1">
      <c r="A107" s="362">
        <v>102</v>
      </c>
      <c r="B107" s="261" t="s">
        <v>386</v>
      </c>
      <c r="C107" s="378"/>
      <c r="D107" s="340"/>
      <c r="E107" s="340"/>
      <c r="F107" s="340"/>
      <c r="G107" s="371">
        <f t="shared" si="11"/>
        <v>0</v>
      </c>
    </row>
    <row r="108" spans="1:7" ht="13.5" thickBot="1">
      <c r="A108" s="362">
        <v>103</v>
      </c>
      <c r="B108" s="262" t="s">
        <v>387</v>
      </c>
      <c r="C108" s="467">
        <f>SUM(C102:C107)</f>
        <v>0</v>
      </c>
      <c r="D108" s="467">
        <f t="shared" ref="D108:G108" si="12">SUM(D102:D107)</f>
        <v>0</v>
      </c>
      <c r="E108" s="467">
        <f t="shared" si="12"/>
        <v>0</v>
      </c>
      <c r="F108" s="467">
        <f t="shared" si="12"/>
        <v>0</v>
      </c>
      <c r="G108" s="468">
        <f t="shared" si="12"/>
        <v>0</v>
      </c>
    </row>
    <row r="109" spans="1:7" ht="13.5" thickBot="1">
      <c r="A109" s="362">
        <v>104</v>
      </c>
      <c r="B109" s="263"/>
      <c r="C109" s="341"/>
      <c r="D109" s="341"/>
      <c r="E109" s="341"/>
      <c r="F109" s="341"/>
      <c r="G109" s="420"/>
    </row>
    <row r="110" spans="1:7" ht="13.5" thickBot="1">
      <c r="A110" s="362">
        <v>105</v>
      </c>
      <c r="B110" s="421" t="s">
        <v>388</v>
      </c>
      <c r="C110" s="422">
        <v>2024</v>
      </c>
      <c r="D110" s="423">
        <v>2025</v>
      </c>
      <c r="E110" s="423" t="s">
        <v>524</v>
      </c>
      <c r="F110" s="423"/>
      <c r="G110" s="424" t="s">
        <v>19</v>
      </c>
    </row>
    <row r="111" spans="1:7">
      <c r="A111" s="362">
        <v>106</v>
      </c>
      <c r="B111" s="266" t="s">
        <v>389</v>
      </c>
      <c r="C111" s="542"/>
      <c r="D111" s="543"/>
      <c r="E111" s="543"/>
      <c r="F111" s="469"/>
      <c r="G111" s="426">
        <f>SUM(C111:F111)</f>
        <v>0</v>
      </c>
    </row>
    <row r="112" spans="1:7">
      <c r="A112" s="362">
        <v>107</v>
      </c>
      <c r="B112" s="266" t="s">
        <v>336</v>
      </c>
      <c r="C112" s="470"/>
      <c r="D112" s="471"/>
      <c r="E112" s="471"/>
      <c r="F112" s="472"/>
      <c r="G112" s="371">
        <f>SUM(C112:F112)</f>
        <v>0</v>
      </c>
    </row>
    <row r="113" spans="1:9">
      <c r="A113" s="362">
        <v>108</v>
      </c>
      <c r="B113" s="267" t="s">
        <v>390</v>
      </c>
      <c r="C113" s="466"/>
      <c r="D113" s="473"/>
      <c r="E113" s="369"/>
      <c r="F113" s="474"/>
      <c r="G113" s="371">
        <f>SUM(C113:E113)</f>
        <v>0</v>
      </c>
    </row>
    <row r="114" spans="1:9" ht="13.5" thickBot="1">
      <c r="A114" s="362">
        <v>109</v>
      </c>
      <c r="B114" s="271" t="s">
        <v>476</v>
      </c>
      <c r="C114" s="496">
        <v>43787</v>
      </c>
      <c r="D114" s="497"/>
      <c r="E114" s="544"/>
      <c r="F114" s="545"/>
      <c r="G114" s="371">
        <f>SUM(C114:E114)</f>
        <v>43787</v>
      </c>
    </row>
    <row r="115" spans="1:9" ht="13.5" thickBot="1">
      <c r="A115" s="362">
        <v>110</v>
      </c>
      <c r="B115" s="262" t="s">
        <v>66</v>
      </c>
      <c r="C115" s="458">
        <f>SUM(C111:C114)</f>
        <v>43787</v>
      </c>
      <c r="D115" s="435">
        <f>SUM(D111:D113)</f>
        <v>0</v>
      </c>
      <c r="E115" s="475">
        <v>0</v>
      </c>
      <c r="F115" s="476">
        <v>0</v>
      </c>
      <c r="G115" s="419">
        <f>SUM(G111:G114)</f>
        <v>43787</v>
      </c>
    </row>
    <row r="116" spans="1:9">
      <c r="A116" s="362">
        <v>111</v>
      </c>
      <c r="B116" s="268"/>
      <c r="G116" s="438"/>
    </row>
    <row r="117" spans="1:9">
      <c r="A117" s="362">
        <v>112</v>
      </c>
      <c r="B117" s="268"/>
      <c r="G117" s="438"/>
    </row>
    <row r="118" spans="1:9" ht="27" customHeight="1">
      <c r="A118" s="362">
        <v>113</v>
      </c>
      <c r="B118" s="269" t="s">
        <v>379</v>
      </c>
      <c r="C118" s="869" t="s">
        <v>516</v>
      </c>
      <c r="D118" s="869"/>
      <c r="E118" s="869"/>
      <c r="F118" s="869"/>
      <c r="G118" s="870"/>
      <c r="I118" s="272"/>
    </row>
    <row r="119" spans="1:9" ht="13.5" thickBot="1">
      <c r="A119" s="362">
        <v>114</v>
      </c>
      <c r="B119" s="270"/>
      <c r="C119" s="399"/>
      <c r="D119" s="399"/>
      <c r="E119" s="399"/>
      <c r="F119" s="871" t="s">
        <v>56</v>
      </c>
      <c r="G119" s="872"/>
    </row>
    <row r="120" spans="1:9" ht="13.5" thickBot="1">
      <c r="A120" s="362">
        <v>115</v>
      </c>
      <c r="B120" s="421" t="s">
        <v>380</v>
      </c>
      <c r="C120" s="422">
        <v>2024</v>
      </c>
      <c r="D120" s="423">
        <v>2025</v>
      </c>
      <c r="E120" s="423" t="s">
        <v>524</v>
      </c>
      <c r="F120" s="423"/>
      <c r="G120" s="424" t="s">
        <v>19</v>
      </c>
    </row>
    <row r="121" spans="1:9">
      <c r="A121" s="362">
        <v>116</v>
      </c>
      <c r="B121" s="538" t="s">
        <v>381</v>
      </c>
      <c r="C121" s="546"/>
      <c r="D121" s="389"/>
      <c r="E121" s="544"/>
      <c r="F121" s="544">
        <v>0</v>
      </c>
      <c r="G121" s="478">
        <f>SUM(C121:E121)</f>
        <v>0</v>
      </c>
    </row>
    <row r="122" spans="1:9">
      <c r="A122" s="362">
        <v>117</v>
      </c>
      <c r="B122" s="258" t="s">
        <v>382</v>
      </c>
      <c r="C122" s="368"/>
      <c r="D122" s="369"/>
      <c r="E122" s="369"/>
      <c r="F122" s="369"/>
      <c r="G122" s="390">
        <f t="shared" ref="G122:G126" si="13">SUM(C122:E122)</f>
        <v>0</v>
      </c>
    </row>
    <row r="123" spans="1:9">
      <c r="A123" s="362">
        <v>118</v>
      </c>
      <c r="B123" s="259" t="s">
        <v>383</v>
      </c>
      <c r="C123" s="372"/>
      <c r="D123" s="466"/>
      <c r="E123" s="369"/>
      <c r="F123" s="264"/>
      <c r="G123" s="390">
        <f t="shared" si="13"/>
        <v>0</v>
      </c>
    </row>
    <row r="124" spans="1:9">
      <c r="A124" s="362">
        <v>119</v>
      </c>
      <c r="B124" s="260" t="s">
        <v>384</v>
      </c>
      <c r="C124" s="374"/>
      <c r="D124" s="369"/>
      <c r="E124" s="369"/>
      <c r="F124" s="466"/>
      <c r="G124" s="390">
        <f t="shared" si="13"/>
        <v>0</v>
      </c>
    </row>
    <row r="125" spans="1:9">
      <c r="A125" s="362">
        <v>120</v>
      </c>
      <c r="B125" s="259" t="s">
        <v>385</v>
      </c>
      <c r="C125" s="372"/>
      <c r="D125" s="375"/>
      <c r="E125" s="375"/>
      <c r="F125" s="375"/>
      <c r="G125" s="390">
        <f t="shared" si="13"/>
        <v>0</v>
      </c>
    </row>
    <row r="126" spans="1:9" ht="13.5" thickBot="1">
      <c r="A126" s="362">
        <v>121</v>
      </c>
      <c r="B126" s="261" t="s">
        <v>386</v>
      </c>
      <c r="C126" s="378"/>
      <c r="D126" s="477"/>
      <c r="E126" s="477"/>
      <c r="F126" s="477"/>
      <c r="G126" s="478">
        <f t="shared" si="13"/>
        <v>0</v>
      </c>
    </row>
    <row r="127" spans="1:9" ht="13.5" thickBot="1">
      <c r="A127" s="362">
        <v>122</v>
      </c>
      <c r="B127" s="262" t="s">
        <v>387</v>
      </c>
      <c r="C127" s="395">
        <f>SUM(C121:C126)</f>
        <v>0</v>
      </c>
      <c r="D127" s="395">
        <f t="shared" ref="D127:G127" si="14">SUM(D121:D126)</f>
        <v>0</v>
      </c>
      <c r="E127" s="395">
        <f t="shared" si="14"/>
        <v>0</v>
      </c>
      <c r="F127" s="395">
        <f t="shared" si="14"/>
        <v>0</v>
      </c>
      <c r="G127" s="479">
        <f t="shared" si="14"/>
        <v>0</v>
      </c>
    </row>
    <row r="128" spans="1:9" ht="13.5" thickBot="1">
      <c r="A128" s="362">
        <v>123</v>
      </c>
      <c r="B128" s="263"/>
      <c r="C128" s="385"/>
      <c r="D128" s="385"/>
      <c r="E128" s="385"/>
      <c r="F128" s="385"/>
      <c r="G128" s="386"/>
    </row>
    <row r="129" spans="1:7" ht="13.5" thickBot="1">
      <c r="A129" s="362">
        <v>124</v>
      </c>
      <c r="B129" s="421" t="s">
        <v>388</v>
      </c>
      <c r="C129" s="422">
        <v>2024</v>
      </c>
      <c r="D129" s="423">
        <v>2025</v>
      </c>
      <c r="E129" s="423" t="s">
        <v>524</v>
      </c>
      <c r="F129" s="423"/>
      <c r="G129" s="424" t="s">
        <v>19</v>
      </c>
    </row>
    <row r="130" spans="1:7">
      <c r="A130" s="362">
        <v>125</v>
      </c>
      <c r="B130" s="266" t="s">
        <v>389</v>
      </c>
      <c r="C130" s="480"/>
      <c r="D130" s="448">
        <f>2136+278</f>
        <v>2414</v>
      </c>
      <c r="E130" s="448"/>
      <c r="F130" s="462"/>
      <c r="G130" s="489">
        <f>SUM(C130:F130)</f>
        <v>2414</v>
      </c>
    </row>
    <row r="131" spans="1:7">
      <c r="A131" s="362">
        <v>126</v>
      </c>
      <c r="B131" s="266" t="s">
        <v>336</v>
      </c>
      <c r="C131" s="480"/>
      <c r="D131" s="448">
        <v>38025</v>
      </c>
      <c r="E131" s="448"/>
      <c r="F131" s="462"/>
      <c r="G131" s="481">
        <f>SUM(C131:F131)</f>
        <v>38025</v>
      </c>
    </row>
    <row r="132" spans="1:7" ht="13.5" thickBot="1">
      <c r="A132" s="362">
        <v>127</v>
      </c>
      <c r="B132" s="267" t="s">
        <v>390</v>
      </c>
      <c r="C132" s="391">
        <v>9271</v>
      </c>
      <c r="D132" s="473"/>
      <c r="E132" s="375"/>
      <c r="F132" s="454"/>
      <c r="G132" s="482">
        <f>SUM(C132:E132)</f>
        <v>9271</v>
      </c>
    </row>
    <row r="133" spans="1:7" ht="13.5" thickBot="1">
      <c r="A133" s="362">
        <v>128</v>
      </c>
      <c r="B133" s="262" t="s">
        <v>66</v>
      </c>
      <c r="C133" s="483">
        <f>SUM(C130:C132)</f>
        <v>9271</v>
      </c>
      <c r="D133" s="484">
        <f>SUM(D130:D132)</f>
        <v>40439</v>
      </c>
      <c r="E133" s="484">
        <v>0</v>
      </c>
      <c r="F133" s="485">
        <v>0</v>
      </c>
      <c r="G133" s="486">
        <f>SUM(G130:G132)</f>
        <v>49710</v>
      </c>
    </row>
    <row r="134" spans="1:7">
      <c r="A134" s="362">
        <v>129</v>
      </c>
      <c r="B134" s="547"/>
      <c r="C134" s="548"/>
      <c r="D134" s="548"/>
      <c r="E134" s="548"/>
      <c r="F134" s="548"/>
      <c r="G134" s="549"/>
    </row>
    <row r="135" spans="1:7">
      <c r="A135" s="362">
        <v>130</v>
      </c>
      <c r="B135" s="268"/>
      <c r="G135" s="438"/>
    </row>
    <row r="136" spans="1:7" ht="25.5" customHeight="1">
      <c r="A136" s="362">
        <v>131</v>
      </c>
      <c r="B136" s="269" t="s">
        <v>379</v>
      </c>
      <c r="C136" s="873" t="s">
        <v>525</v>
      </c>
      <c r="D136" s="873"/>
      <c r="E136" s="873"/>
      <c r="F136" s="873"/>
      <c r="G136" s="874"/>
    </row>
    <row r="137" spans="1:7" ht="13.5" thickBot="1">
      <c r="A137" s="362">
        <v>132</v>
      </c>
      <c r="B137" s="550"/>
      <c r="C137" s="551"/>
      <c r="D137" s="551"/>
      <c r="E137" s="551"/>
      <c r="F137" s="867" t="s">
        <v>56</v>
      </c>
      <c r="G137" s="868"/>
    </row>
    <row r="138" spans="1:7" ht="13.5" thickBot="1">
      <c r="A138" s="362">
        <v>133</v>
      </c>
      <c r="B138" s="421" t="s">
        <v>380</v>
      </c>
      <c r="C138" s="422">
        <v>2024</v>
      </c>
      <c r="D138" s="423">
        <v>2025</v>
      </c>
      <c r="E138" s="423" t="s">
        <v>524</v>
      </c>
      <c r="F138" s="423"/>
      <c r="G138" s="424" t="s">
        <v>19</v>
      </c>
    </row>
    <row r="139" spans="1:7">
      <c r="A139" s="362">
        <v>134</v>
      </c>
      <c r="B139" s="538" t="s">
        <v>381</v>
      </c>
      <c r="C139" s="488">
        <v>3077</v>
      </c>
      <c r="D139" s="389"/>
      <c r="E139" s="544"/>
      <c r="F139" s="544">
        <v>0</v>
      </c>
      <c r="G139" s="489">
        <f>SUM(C139:F139)</f>
        <v>3077</v>
      </c>
    </row>
    <row r="140" spans="1:7">
      <c r="A140" s="362">
        <v>135</v>
      </c>
      <c r="B140" s="258" t="s">
        <v>382</v>
      </c>
      <c r="C140" s="487"/>
      <c r="D140" s="369"/>
      <c r="E140" s="369"/>
      <c r="F140" s="369"/>
      <c r="G140" s="489">
        <f t="shared" ref="G140" si="15">SUM(C140:F140)</f>
        <v>0</v>
      </c>
    </row>
    <row r="141" spans="1:7">
      <c r="A141" s="362">
        <v>136</v>
      </c>
      <c r="B141" s="259" t="s">
        <v>383</v>
      </c>
      <c r="C141" s="488">
        <v>11401</v>
      </c>
      <c r="D141" s="466">
        <v>574629</v>
      </c>
      <c r="E141" s="369"/>
      <c r="F141" s="255"/>
      <c r="G141" s="489">
        <f>SUM(C141:F141)</f>
        <v>586030</v>
      </c>
    </row>
    <row r="142" spans="1:7">
      <c r="A142" s="362">
        <v>137</v>
      </c>
      <c r="B142" s="260" t="s">
        <v>384</v>
      </c>
      <c r="C142" s="490"/>
      <c r="D142" s="369"/>
      <c r="E142" s="369"/>
      <c r="F142" s="466"/>
      <c r="G142" s="489">
        <f t="shared" ref="G142:G144" si="16">SUM(C142:F142)</f>
        <v>0</v>
      </c>
    </row>
    <row r="143" spans="1:7">
      <c r="A143" s="362">
        <v>138</v>
      </c>
      <c r="B143" s="259" t="s">
        <v>385</v>
      </c>
      <c r="C143" s="491"/>
      <c r="D143" s="375"/>
      <c r="E143" s="375"/>
      <c r="F143" s="375"/>
      <c r="G143" s="489">
        <f t="shared" si="16"/>
        <v>0</v>
      </c>
    </row>
    <row r="144" spans="1:7" ht="13.5" thickBot="1">
      <c r="A144" s="362">
        <v>139</v>
      </c>
      <c r="B144" s="261" t="s">
        <v>386</v>
      </c>
      <c r="C144" s="492"/>
      <c r="D144" s="477"/>
      <c r="E144" s="477"/>
      <c r="F144" s="477"/>
      <c r="G144" s="489">
        <f t="shared" si="16"/>
        <v>0</v>
      </c>
    </row>
    <row r="145" spans="1:7" ht="13.5" thickBot="1">
      <c r="A145" s="362">
        <v>140</v>
      </c>
      <c r="B145" s="262" t="s">
        <v>387</v>
      </c>
      <c r="C145" s="442">
        <f>SUM(C139:C144)</f>
        <v>14478</v>
      </c>
      <c r="D145" s="442">
        <f t="shared" ref="D145:E145" si="17">SUM(D139:D144)</f>
        <v>574629</v>
      </c>
      <c r="E145" s="442">
        <f t="shared" si="17"/>
        <v>0</v>
      </c>
      <c r="F145" s="494"/>
      <c r="G145" s="593">
        <f>SUM(G139:G144)</f>
        <v>589107</v>
      </c>
    </row>
    <row r="146" spans="1:7" ht="13.5" thickBot="1">
      <c r="A146" s="362">
        <v>141</v>
      </c>
      <c r="B146" s="263"/>
      <c r="C146" s="385"/>
      <c r="D146" s="385"/>
      <c r="E146" s="385"/>
      <c r="F146" s="385"/>
      <c r="G146" s="386"/>
    </row>
    <row r="147" spans="1:7" ht="13.5" thickBot="1">
      <c r="A147" s="362">
        <v>142</v>
      </c>
      <c r="B147" s="421" t="s">
        <v>388</v>
      </c>
      <c r="C147" s="422">
        <v>2024</v>
      </c>
      <c r="D147" s="423">
        <v>2025</v>
      </c>
      <c r="E147" s="423" t="s">
        <v>524</v>
      </c>
      <c r="F147" s="423"/>
      <c r="G147" s="424" t="s">
        <v>19</v>
      </c>
    </row>
    <row r="148" spans="1:7">
      <c r="A148" s="362">
        <v>143</v>
      </c>
      <c r="B148" s="266" t="s">
        <v>389</v>
      </c>
      <c r="C148" s="480"/>
      <c r="D148" s="448">
        <f>14390+1871</f>
        <v>16261</v>
      </c>
      <c r="E148" s="448"/>
      <c r="F148" s="462"/>
      <c r="G148" s="481">
        <f>SUM(C148:F148)</f>
        <v>16261</v>
      </c>
    </row>
    <row r="149" spans="1:7">
      <c r="A149" s="362">
        <v>144</v>
      </c>
      <c r="B149" s="266" t="s">
        <v>336</v>
      </c>
      <c r="C149" s="480"/>
      <c r="D149" s="448">
        <v>9200</v>
      </c>
      <c r="E149" s="448"/>
      <c r="F149" s="462"/>
      <c r="G149" s="495">
        <f>SUM(C149:F149)</f>
        <v>9200</v>
      </c>
    </row>
    <row r="150" spans="1:7">
      <c r="A150" s="362">
        <v>145</v>
      </c>
      <c r="B150" s="267" t="s">
        <v>390</v>
      </c>
      <c r="C150" s="391">
        <v>14478</v>
      </c>
      <c r="D150" s="473">
        <f>40053+509115</f>
        <v>549168</v>
      </c>
      <c r="E150" s="375"/>
      <c r="F150" s="454"/>
      <c r="G150" s="482">
        <f>SUM(C150:E150)</f>
        <v>563646</v>
      </c>
    </row>
    <row r="151" spans="1:7" ht="13.5" thickBot="1">
      <c r="A151" s="362">
        <v>146</v>
      </c>
      <c r="B151" s="271" t="s">
        <v>476</v>
      </c>
      <c r="C151" s="496"/>
      <c r="D151" s="497"/>
      <c r="E151" s="498"/>
      <c r="F151" s="499"/>
      <c r="G151" s="493">
        <f>SUM(C151:E151)</f>
        <v>0</v>
      </c>
    </row>
    <row r="152" spans="1:7" ht="13.5" thickBot="1">
      <c r="A152" s="362">
        <v>147</v>
      </c>
      <c r="B152" s="262" t="s">
        <v>66</v>
      </c>
      <c r="C152" s="483">
        <f>SUM(C148:C151)</f>
        <v>14478</v>
      </c>
      <c r="D152" s="483">
        <f t="shared" ref="D152:G152" si="18">SUM(D148:D151)</f>
        <v>574629</v>
      </c>
      <c r="E152" s="483">
        <f t="shared" si="18"/>
        <v>0</v>
      </c>
      <c r="F152" s="483">
        <f t="shared" si="18"/>
        <v>0</v>
      </c>
      <c r="G152" s="500">
        <f t="shared" si="18"/>
        <v>589107</v>
      </c>
    </row>
    <row r="156" spans="1:7">
      <c r="C156" s="311">
        <f>C152-C145</f>
        <v>0</v>
      </c>
    </row>
  </sheetData>
  <mergeCells count="18">
    <mergeCell ref="F24:G24"/>
    <mergeCell ref="B3:G3"/>
    <mergeCell ref="A4:A5"/>
    <mergeCell ref="C4:G4"/>
    <mergeCell ref="F5:G5"/>
    <mergeCell ref="C23:G23"/>
    <mergeCell ref="F137:G137"/>
    <mergeCell ref="C42:G42"/>
    <mergeCell ref="F43:G43"/>
    <mergeCell ref="C61:G61"/>
    <mergeCell ref="F62:G62"/>
    <mergeCell ref="C80:G80"/>
    <mergeCell ref="F81:G81"/>
    <mergeCell ref="C99:G99"/>
    <mergeCell ref="F100:G100"/>
    <mergeCell ref="C118:G118"/>
    <mergeCell ref="F119:G119"/>
    <mergeCell ref="C136:G136"/>
  </mergeCells>
  <conditionalFormatting sqref="C69">
    <cfRule type="cellIs" dxfId="42" priority="36" stopIfTrue="1" operator="equal">
      <formula>0</formula>
    </cfRule>
  </conditionalFormatting>
  <conditionalFormatting sqref="C118">
    <cfRule type="cellIs" dxfId="41" priority="20" stopIfTrue="1" operator="equal">
      <formula>0</formula>
    </cfRule>
  </conditionalFormatting>
  <conditionalFormatting sqref="D90:E95">
    <cfRule type="cellIs" dxfId="40" priority="7" stopIfTrue="1" operator="equal">
      <formula>0</formula>
    </cfRule>
  </conditionalFormatting>
  <conditionalFormatting sqref="D26:F31">
    <cfRule type="cellIs" dxfId="39" priority="29" stopIfTrue="1" operator="equal">
      <formula>0</formula>
    </cfRule>
  </conditionalFormatting>
  <conditionalFormatting sqref="D35:F37 F38:F39">
    <cfRule type="cellIs" dxfId="38" priority="28" stopIfTrue="1" operator="equal">
      <formula>0</formula>
    </cfRule>
  </conditionalFormatting>
  <conditionalFormatting sqref="D45:F50">
    <cfRule type="cellIs" dxfId="37" priority="17" stopIfTrue="1" operator="equal">
      <formula>0</formula>
    </cfRule>
  </conditionalFormatting>
  <conditionalFormatting sqref="D54:F56 F57:F58">
    <cfRule type="cellIs" dxfId="36" priority="16" stopIfTrue="1" operator="equal">
      <formula>0</formula>
    </cfRule>
  </conditionalFormatting>
  <conditionalFormatting sqref="D64:F69 F70:F71 D73:F73 D74:G74 D75:F76">
    <cfRule type="cellIs" dxfId="35" priority="27" stopIfTrue="1" operator="equal">
      <formula>0</formula>
    </cfRule>
  </conditionalFormatting>
  <conditionalFormatting sqref="D83:F88 F89:F90 G90 F91:G91 D92:F94 D95:G95">
    <cfRule type="cellIs" dxfId="34" priority="26" stopIfTrue="1" operator="equal">
      <formula>0</formula>
    </cfRule>
  </conditionalFormatting>
  <conditionalFormatting sqref="D102:F107">
    <cfRule type="cellIs" dxfId="33" priority="25" stopIfTrue="1" operator="equal">
      <formula>0</formula>
    </cfRule>
  </conditionalFormatting>
  <conditionalFormatting sqref="D111:F114">
    <cfRule type="cellIs" dxfId="32" priority="24" stopIfTrue="1" operator="equal">
      <formula>0</formula>
    </cfRule>
  </conditionalFormatting>
  <conditionalFormatting sqref="D121:F126 D130:F132">
    <cfRule type="cellIs" dxfId="31" priority="23" stopIfTrue="1" operator="equal">
      <formula>0</formula>
    </cfRule>
  </conditionalFormatting>
  <conditionalFormatting sqref="D139:F144">
    <cfRule type="cellIs" dxfId="30" priority="22" stopIfTrue="1" operator="equal">
      <formula>0</formula>
    </cfRule>
  </conditionalFormatting>
  <conditionalFormatting sqref="D148:F151">
    <cfRule type="cellIs" dxfId="29" priority="21" stopIfTrue="1" operator="equal">
      <formula>0</formula>
    </cfRule>
  </conditionalFormatting>
  <conditionalFormatting sqref="D4:G6 D7:F12">
    <cfRule type="cellIs" dxfId="28" priority="37" stopIfTrue="1" operator="equal">
      <formula>0</formula>
    </cfRule>
  </conditionalFormatting>
  <conditionalFormatting sqref="D14:G15 D16:F18">
    <cfRule type="cellIs" dxfId="27" priority="15" stopIfTrue="1" operator="equal">
      <formula>0</formula>
    </cfRule>
  </conditionalFormatting>
  <conditionalFormatting sqref="D19:G19">
    <cfRule type="cellIs" dxfId="26" priority="30" stopIfTrue="1" operator="equal">
      <formula>0</formula>
    </cfRule>
  </conditionalFormatting>
  <conditionalFormatting sqref="D24:G25">
    <cfRule type="cellIs" dxfId="25" priority="14" stopIfTrue="1" operator="equal">
      <formula>0</formula>
    </cfRule>
  </conditionalFormatting>
  <conditionalFormatting sqref="D33:G34">
    <cfRule type="cellIs" dxfId="24" priority="13" stopIfTrue="1" operator="equal">
      <formula>0</formula>
    </cfRule>
  </conditionalFormatting>
  <conditionalFormatting sqref="D40:G40">
    <cfRule type="cellIs" dxfId="23" priority="43" stopIfTrue="1" operator="equal">
      <formula>0</formula>
    </cfRule>
  </conditionalFormatting>
  <conditionalFormatting sqref="D43:G44">
    <cfRule type="cellIs" dxfId="22" priority="12" stopIfTrue="1" operator="equal">
      <formula>0</formula>
    </cfRule>
  </conditionalFormatting>
  <conditionalFormatting sqref="D52:G53">
    <cfRule type="cellIs" dxfId="21" priority="11" stopIfTrue="1" operator="equal">
      <formula>0</formula>
    </cfRule>
  </conditionalFormatting>
  <conditionalFormatting sqref="D62:G63">
    <cfRule type="cellIs" dxfId="20" priority="10" stopIfTrue="1" operator="equal">
      <formula>0</formula>
    </cfRule>
  </conditionalFormatting>
  <conditionalFormatting sqref="D71:G72">
    <cfRule type="cellIs" dxfId="19" priority="9" stopIfTrue="1" operator="equal">
      <formula>0</formula>
    </cfRule>
  </conditionalFormatting>
  <conditionalFormatting sqref="D81:G82">
    <cfRule type="cellIs" dxfId="18" priority="8" stopIfTrue="1" operator="equal">
      <formula>0</formula>
    </cfRule>
  </conditionalFormatting>
  <conditionalFormatting sqref="D100:G101">
    <cfRule type="cellIs" dxfId="17" priority="6" stopIfTrue="1" operator="equal">
      <formula>0</formula>
    </cfRule>
  </conditionalFormatting>
  <conditionalFormatting sqref="D109:G110">
    <cfRule type="cellIs" dxfId="16" priority="5" stopIfTrue="1" operator="equal">
      <formula>0</formula>
    </cfRule>
  </conditionalFormatting>
  <conditionalFormatting sqref="D119:G120">
    <cfRule type="cellIs" dxfId="15" priority="4" stopIfTrue="1" operator="equal">
      <formula>0</formula>
    </cfRule>
  </conditionalFormatting>
  <conditionalFormatting sqref="D128:G129">
    <cfRule type="cellIs" dxfId="14" priority="3" stopIfTrue="1" operator="equal">
      <formula>0</formula>
    </cfRule>
  </conditionalFormatting>
  <conditionalFormatting sqref="D137:G138">
    <cfRule type="cellIs" dxfId="13" priority="2" stopIfTrue="1" operator="equal">
      <formula>0</formula>
    </cfRule>
  </conditionalFormatting>
  <conditionalFormatting sqref="D146:G147">
    <cfRule type="cellIs" dxfId="12" priority="1" stopIfTrue="1" operator="equal">
      <formula>0</formula>
    </cfRule>
  </conditionalFormatting>
  <conditionalFormatting sqref="F26:F27 F29:F33">
    <cfRule type="cellIs" dxfId="11" priority="41" stopIfTrue="1" operator="equal">
      <formula>0</formula>
    </cfRule>
  </conditionalFormatting>
  <conditionalFormatting sqref="F45:F46 F48:F52">
    <cfRule type="cellIs" dxfId="10" priority="18" stopIfTrue="1" operator="equal">
      <formula>0</formula>
    </cfRule>
  </conditionalFormatting>
  <conditionalFormatting sqref="F64:F65">
    <cfRule type="cellIs" dxfId="9" priority="35" stopIfTrue="1" operator="equal">
      <formula>0</formula>
    </cfRule>
  </conditionalFormatting>
  <conditionalFormatting sqref="F83:F84">
    <cfRule type="cellIs" dxfId="8" priority="34" stopIfTrue="1" operator="equal">
      <formula>0</formula>
    </cfRule>
  </conditionalFormatting>
  <conditionalFormatting sqref="F102:F103">
    <cfRule type="cellIs" dxfId="7" priority="33" stopIfTrue="1" operator="equal">
      <formula>0</formula>
    </cfRule>
  </conditionalFormatting>
  <conditionalFormatting sqref="F105:F107 F115">
    <cfRule type="cellIs" dxfId="6" priority="40" stopIfTrue="1" operator="equal">
      <formula>0</formula>
    </cfRule>
  </conditionalFormatting>
  <conditionalFormatting sqref="F121:F122">
    <cfRule type="cellIs" dxfId="5" priority="32" stopIfTrue="1" operator="equal">
      <formula>0</formula>
    </cfRule>
  </conditionalFormatting>
  <conditionalFormatting sqref="F124:F126 F133:G133">
    <cfRule type="cellIs" dxfId="4" priority="39" stopIfTrue="1" operator="equal">
      <formula>0</formula>
    </cfRule>
  </conditionalFormatting>
  <conditionalFormatting sqref="F139:F140">
    <cfRule type="cellIs" dxfId="3" priority="31" stopIfTrue="1" operator="equal">
      <formula>0</formula>
    </cfRule>
  </conditionalFormatting>
  <conditionalFormatting sqref="F142:F146">
    <cfRule type="cellIs" dxfId="2" priority="38" stopIfTrue="1" operator="equal">
      <formula>0</formula>
    </cfRule>
  </conditionalFormatting>
  <conditionalFormatting sqref="G39 C99">
    <cfRule type="cellIs" dxfId="1" priority="42" stopIfTrue="1" operator="equal">
      <formula>0</formula>
    </cfRule>
  </conditionalFormatting>
  <conditionalFormatting sqref="G58">
    <cfRule type="cellIs" dxfId="0" priority="19" stopIfTrue="1" operator="equal">
      <formula>0</formula>
    </cfRule>
  </conditionalFormatting>
  <pageMargins left="0.7" right="0.7" top="0.75" bottom="0.75" header="0.3" footer="0.3"/>
  <pageSetup paperSize="9" scale="83" orientation="portrait" r:id="rId1"/>
  <headerFooter>
    <oddFooter>&amp;P. oldal</oddFooter>
  </headerFooter>
  <rowBreaks count="2" manualBreakCount="2">
    <brk id="60" max="16383" man="1"/>
    <brk id="117" max="16383" man="1"/>
  </rowBreaks>
  <ignoredErrors>
    <ignoredError sqref="C8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6542-DB2D-40C0-AA1F-3EAAA4090CF4}">
  <dimension ref="A1:AR36"/>
  <sheetViews>
    <sheetView tabSelected="1" view="pageBreakPreview" zoomScale="60" zoomScaleNormal="100" workbookViewId="0">
      <selection activeCell="AS53" sqref="AS53"/>
    </sheetView>
  </sheetViews>
  <sheetFormatPr defaultColWidth="9.140625" defaultRowHeight="12.75"/>
  <cols>
    <col min="1" max="1" width="9.140625" style="242"/>
    <col min="2" max="2" width="48.42578125" style="242" bestFit="1" customWidth="1"/>
    <col min="3" max="3" width="15.42578125" style="242" hidden="1" customWidth="1"/>
    <col min="4" max="4" width="1.42578125" style="242" hidden="1" customWidth="1"/>
    <col min="5" max="5" width="15.42578125" style="242" hidden="1" customWidth="1"/>
    <col min="6" max="6" width="14.42578125" style="242" hidden="1" customWidth="1"/>
    <col min="7" max="7" width="17.42578125" style="242" hidden="1" customWidth="1"/>
    <col min="8" max="8" width="13.42578125" style="242" hidden="1" customWidth="1"/>
    <col min="9" max="9" width="7.140625" style="242" hidden="1" customWidth="1"/>
    <col min="10" max="10" width="13.42578125" style="242" hidden="1" customWidth="1"/>
    <col min="11" max="12" width="16" style="242" hidden="1" customWidth="1"/>
    <col min="13" max="13" width="16" style="355" hidden="1" customWidth="1"/>
    <col min="14" max="15" width="16" style="242" customWidth="1"/>
    <col min="16" max="16" width="16" style="242" hidden="1" customWidth="1"/>
    <col min="17" max="17" width="16" style="242" customWidth="1"/>
    <col min="18" max="18" width="16" style="672" hidden="1" customWidth="1"/>
    <col min="19" max="21" width="16" style="672" customWidth="1"/>
    <col min="22" max="22" width="49.42578125" style="242" bestFit="1" customWidth="1"/>
    <col min="23" max="23" width="14.42578125" style="242" hidden="1" customWidth="1"/>
    <col min="24" max="24" width="16.42578125" style="242" hidden="1" customWidth="1"/>
    <col min="25" max="25" width="17.42578125" style="242" hidden="1" customWidth="1"/>
    <col min="26" max="26" width="6.42578125" style="242" hidden="1" customWidth="1"/>
    <col min="27" max="27" width="14.85546875" style="242" hidden="1" customWidth="1"/>
    <col min="28" max="28" width="14.42578125" style="242" hidden="1" customWidth="1"/>
    <col min="29" max="29" width="2.140625" style="242" hidden="1" customWidth="1"/>
    <col min="30" max="30" width="2" style="242" hidden="1" customWidth="1"/>
    <col min="31" max="31" width="17.42578125" style="242" hidden="1" customWidth="1"/>
    <col min="32" max="32" width="16.140625" style="242" hidden="1" customWidth="1"/>
    <col min="33" max="33" width="16.140625" style="355" hidden="1" customWidth="1"/>
    <col min="34" max="35" width="16.140625" style="242" customWidth="1"/>
    <col min="36" max="36" width="16.140625" style="242" hidden="1" customWidth="1"/>
    <col min="37" max="37" width="16.140625" style="242" customWidth="1"/>
    <col min="38" max="38" width="16.140625" style="672" hidden="1" customWidth="1"/>
    <col min="39" max="41" width="16.140625" style="672" customWidth="1"/>
    <col min="42" max="16384" width="9.140625" style="242"/>
  </cols>
  <sheetData>
    <row r="1" spans="1:41" s="677" customFormat="1">
      <c r="A1" s="885" t="s">
        <v>673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</row>
    <row r="2" spans="1:41" ht="15.75">
      <c r="A2" s="800" t="s">
        <v>607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  <c r="AD2" s="800"/>
      <c r="AE2" s="800"/>
      <c r="AF2" s="800"/>
      <c r="AG2" s="800"/>
      <c r="AH2" s="800"/>
      <c r="AI2" s="800"/>
      <c r="AJ2" s="800"/>
      <c r="AK2" s="800"/>
      <c r="AL2" s="800"/>
      <c r="AM2" s="800"/>
      <c r="AN2" s="678"/>
      <c r="AO2" s="678"/>
    </row>
    <row r="3" spans="1:41">
      <c r="B3" s="273"/>
      <c r="C3" s="273" t="s">
        <v>143</v>
      </c>
      <c r="D3" s="273"/>
      <c r="E3" s="273"/>
      <c r="F3" s="273"/>
      <c r="G3" s="273"/>
      <c r="H3" s="273"/>
      <c r="I3" s="273"/>
      <c r="J3" s="273"/>
      <c r="K3" s="273"/>
      <c r="L3" s="273"/>
      <c r="M3" s="358"/>
      <c r="N3" s="273"/>
      <c r="O3" s="273"/>
      <c r="P3" s="273"/>
      <c r="Q3" s="273"/>
      <c r="R3" s="671"/>
      <c r="S3" s="671"/>
      <c r="T3" s="671"/>
      <c r="U3" s="671"/>
      <c r="V3" s="273"/>
    </row>
    <row r="4" spans="1:41" ht="15.75"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358"/>
      <c r="N4" s="273"/>
      <c r="O4" s="273"/>
      <c r="P4" s="273"/>
      <c r="Q4" s="273"/>
      <c r="R4" s="671"/>
      <c r="S4" s="671"/>
      <c r="T4" s="671"/>
      <c r="U4" s="671"/>
      <c r="AH4" s="182"/>
      <c r="AI4" s="182" t="s">
        <v>71</v>
      </c>
      <c r="AJ4" s="886"/>
      <c r="AK4" s="886"/>
      <c r="AL4" s="887"/>
      <c r="AM4" s="887"/>
      <c r="AN4" s="887" t="s">
        <v>56</v>
      </c>
      <c r="AO4" s="887"/>
    </row>
    <row r="5" spans="1:41">
      <c r="A5" s="245"/>
      <c r="B5" s="246" t="s">
        <v>414</v>
      </c>
      <c r="C5" s="246"/>
      <c r="D5" s="246"/>
      <c r="E5" s="246"/>
      <c r="F5" s="246"/>
      <c r="G5" s="246"/>
      <c r="H5" s="246"/>
      <c r="I5" s="246"/>
      <c r="J5" s="246"/>
      <c r="K5" s="246"/>
      <c r="L5" s="246" t="s">
        <v>415</v>
      </c>
      <c r="M5" s="246" t="s">
        <v>416</v>
      </c>
      <c r="N5" s="246" t="s">
        <v>415</v>
      </c>
      <c r="O5" s="246" t="s">
        <v>416</v>
      </c>
      <c r="P5" s="246" t="s">
        <v>417</v>
      </c>
      <c r="Q5" s="246" t="s">
        <v>417</v>
      </c>
      <c r="R5" s="673" t="s">
        <v>418</v>
      </c>
      <c r="S5" s="673" t="s">
        <v>418</v>
      </c>
      <c r="T5" s="673" t="s">
        <v>419</v>
      </c>
      <c r="U5" s="673" t="s">
        <v>424</v>
      </c>
      <c r="V5" s="246" t="s">
        <v>425</v>
      </c>
      <c r="W5" s="246"/>
      <c r="X5" s="246"/>
      <c r="Y5" s="246"/>
      <c r="Z5" s="246"/>
      <c r="AA5" s="246"/>
      <c r="AB5" s="246"/>
      <c r="AC5" s="246"/>
      <c r="AD5" s="246"/>
      <c r="AE5" s="246"/>
      <c r="AF5" s="246" t="s">
        <v>418</v>
      </c>
      <c r="AG5" s="246" t="s">
        <v>419</v>
      </c>
      <c r="AH5" s="246" t="s">
        <v>426</v>
      </c>
      <c r="AI5" s="246" t="s">
        <v>427</v>
      </c>
      <c r="AJ5" s="246" t="s">
        <v>426</v>
      </c>
      <c r="AK5" s="246" t="s">
        <v>428</v>
      </c>
      <c r="AL5" s="673" t="s">
        <v>428</v>
      </c>
      <c r="AM5" s="673" t="s">
        <v>429</v>
      </c>
      <c r="AN5" s="673" t="s">
        <v>674</v>
      </c>
      <c r="AO5" s="673" t="s">
        <v>483</v>
      </c>
    </row>
    <row r="6" spans="1:41">
      <c r="A6" s="888">
        <v>1</v>
      </c>
      <c r="B6" s="890" t="s">
        <v>138</v>
      </c>
      <c r="C6" s="892" t="s">
        <v>104</v>
      </c>
      <c r="D6" s="894" t="s">
        <v>144</v>
      </c>
      <c r="E6" s="892" t="s">
        <v>109</v>
      </c>
      <c r="F6" s="896" t="s">
        <v>111</v>
      </c>
      <c r="G6" s="896" t="s">
        <v>145</v>
      </c>
      <c r="H6" s="896" t="s">
        <v>111</v>
      </c>
      <c r="I6" s="896" t="s">
        <v>256</v>
      </c>
      <c r="J6" s="896" t="s">
        <v>111</v>
      </c>
      <c r="K6" s="716" t="s">
        <v>260</v>
      </c>
      <c r="L6" s="716" t="s">
        <v>394</v>
      </c>
      <c r="M6" s="722" t="s">
        <v>485</v>
      </c>
      <c r="N6" s="716" t="s">
        <v>542</v>
      </c>
      <c r="O6" s="716" t="s">
        <v>581</v>
      </c>
      <c r="P6" s="721" t="s">
        <v>111</v>
      </c>
      <c r="Q6" s="721" t="s">
        <v>609</v>
      </c>
      <c r="R6" s="724" t="s">
        <v>111</v>
      </c>
      <c r="S6" s="724" t="s">
        <v>637</v>
      </c>
      <c r="T6" s="724" t="s">
        <v>111</v>
      </c>
      <c r="U6" s="724" t="s">
        <v>582</v>
      </c>
      <c r="V6" s="890" t="s">
        <v>123</v>
      </c>
      <c r="W6" s="892" t="s">
        <v>146</v>
      </c>
      <c r="X6" s="894" t="s">
        <v>113</v>
      </c>
      <c r="Y6" s="897" t="s">
        <v>109</v>
      </c>
      <c r="Z6" s="901" t="s">
        <v>111</v>
      </c>
      <c r="AA6" s="900" t="s">
        <v>145</v>
      </c>
      <c r="AB6" s="903" t="s">
        <v>111</v>
      </c>
      <c r="AC6" s="896" t="s">
        <v>256</v>
      </c>
      <c r="AD6" s="889" t="s">
        <v>111</v>
      </c>
      <c r="AE6" s="716" t="s">
        <v>260</v>
      </c>
      <c r="AF6" s="900" t="s">
        <v>395</v>
      </c>
      <c r="AG6" s="722" t="s">
        <v>485</v>
      </c>
      <c r="AH6" s="716" t="s">
        <v>542</v>
      </c>
      <c r="AI6" s="716" t="s">
        <v>581</v>
      </c>
      <c r="AJ6" s="721" t="s">
        <v>111</v>
      </c>
      <c r="AK6" s="721" t="s">
        <v>609</v>
      </c>
      <c r="AL6" s="724" t="s">
        <v>111</v>
      </c>
      <c r="AM6" s="724" t="s">
        <v>637</v>
      </c>
      <c r="AN6" s="724" t="s">
        <v>111</v>
      </c>
      <c r="AO6" s="724" t="s">
        <v>582</v>
      </c>
    </row>
    <row r="7" spans="1:41">
      <c r="A7" s="889"/>
      <c r="B7" s="891"/>
      <c r="C7" s="893"/>
      <c r="D7" s="895"/>
      <c r="E7" s="893"/>
      <c r="F7" s="896"/>
      <c r="G7" s="896"/>
      <c r="H7" s="896"/>
      <c r="I7" s="896"/>
      <c r="J7" s="896"/>
      <c r="K7" s="716"/>
      <c r="L7" s="716"/>
      <c r="M7" s="722"/>
      <c r="N7" s="716"/>
      <c r="O7" s="716"/>
      <c r="P7" s="722"/>
      <c r="Q7" s="722"/>
      <c r="R7" s="725"/>
      <c r="S7" s="725"/>
      <c r="T7" s="725"/>
      <c r="U7" s="725"/>
      <c r="V7" s="891"/>
      <c r="W7" s="893"/>
      <c r="X7" s="895"/>
      <c r="Y7" s="897"/>
      <c r="Z7" s="901"/>
      <c r="AA7" s="889"/>
      <c r="AB7" s="903"/>
      <c r="AC7" s="896"/>
      <c r="AD7" s="889"/>
      <c r="AE7" s="716"/>
      <c r="AF7" s="889"/>
      <c r="AG7" s="722"/>
      <c r="AH7" s="716"/>
      <c r="AI7" s="716"/>
      <c r="AJ7" s="722"/>
      <c r="AK7" s="722"/>
      <c r="AL7" s="725"/>
      <c r="AM7" s="725"/>
      <c r="AN7" s="725"/>
      <c r="AO7" s="725"/>
    </row>
    <row r="8" spans="1:41">
      <c r="A8" s="890"/>
      <c r="B8" s="891"/>
      <c r="C8" s="893"/>
      <c r="D8" s="895"/>
      <c r="E8" s="893"/>
      <c r="F8" s="892"/>
      <c r="G8" s="892"/>
      <c r="H8" s="892"/>
      <c r="I8" s="892"/>
      <c r="J8" s="892"/>
      <c r="K8" s="717"/>
      <c r="L8" s="717"/>
      <c r="M8" s="723"/>
      <c r="N8" s="717"/>
      <c r="O8" s="717"/>
      <c r="P8" s="723"/>
      <c r="Q8" s="723"/>
      <c r="R8" s="726"/>
      <c r="S8" s="726"/>
      <c r="T8" s="726"/>
      <c r="U8" s="726"/>
      <c r="V8" s="891"/>
      <c r="W8" s="893"/>
      <c r="X8" s="895"/>
      <c r="Y8" s="898"/>
      <c r="Z8" s="902"/>
      <c r="AA8" s="890"/>
      <c r="AB8" s="904"/>
      <c r="AC8" s="892"/>
      <c r="AD8" s="890"/>
      <c r="AE8" s="717"/>
      <c r="AF8" s="890"/>
      <c r="AG8" s="723"/>
      <c r="AH8" s="717"/>
      <c r="AI8" s="717"/>
      <c r="AJ8" s="723"/>
      <c r="AK8" s="723"/>
      <c r="AL8" s="726"/>
      <c r="AM8" s="726"/>
      <c r="AN8" s="726"/>
      <c r="AO8" s="726"/>
    </row>
    <row r="9" spans="1:41" ht="25.5">
      <c r="A9" s="246">
        <v>2</v>
      </c>
      <c r="B9" s="245" t="s">
        <v>147</v>
      </c>
      <c r="C9" s="274">
        <v>1089794</v>
      </c>
      <c r="D9" s="274">
        <v>1650257</v>
      </c>
      <c r="E9" s="274">
        <f>[5]Kiadások!F150</f>
        <v>1098520</v>
      </c>
      <c r="F9" s="274">
        <v>277628</v>
      </c>
      <c r="G9" s="274">
        <f>F9+E9</f>
        <v>1376148</v>
      </c>
      <c r="H9" s="274">
        <f>'[1]Kiadások 2m'!J140</f>
        <v>53537</v>
      </c>
      <c r="I9" s="274">
        <f>'[1]Kiadások 2m'!K140</f>
        <v>1429685</v>
      </c>
      <c r="J9" s="274">
        <f>'[1]Kiadások 2m'!L140</f>
        <v>41734</v>
      </c>
      <c r="K9" s="274">
        <f>'[1]Kiadások 2m'!M140</f>
        <v>1471419</v>
      </c>
      <c r="L9" s="274">
        <f>'[1]Kiadások 2m'!N140</f>
        <v>1256567</v>
      </c>
      <c r="M9" s="354">
        <f>'[1]Kiadások 2m'!Q140</f>
        <v>1412680</v>
      </c>
      <c r="N9" s="274">
        <f>'[1]Kiadások 2m'!R140</f>
        <v>1662466</v>
      </c>
      <c r="O9" s="274">
        <f>'[1]Kiadások 2m'!S140</f>
        <v>2007345</v>
      </c>
      <c r="P9" s="274">
        <f>'[1]Kiadások 2m'!T140</f>
        <v>172194</v>
      </c>
      <c r="Q9" s="274">
        <f>'[1]Kiadások 2m'!U140</f>
        <v>2179539</v>
      </c>
      <c r="R9" s="674">
        <f>'[3]Kiadások 2m'!V141</f>
        <v>56922</v>
      </c>
      <c r="S9" s="674">
        <f>SUM(Q9:R9)</f>
        <v>2236461</v>
      </c>
      <c r="T9" s="674">
        <f>'[6]Kiadások 2m.'!X141</f>
        <v>22010</v>
      </c>
      <c r="U9" s="674">
        <f>SUM(S9:T9)</f>
        <v>2258471</v>
      </c>
      <c r="V9" s="275" t="s">
        <v>445</v>
      </c>
      <c r="W9" s="274">
        <v>783333</v>
      </c>
      <c r="X9" s="274">
        <v>1761190</v>
      </c>
      <c r="Y9" s="276">
        <f>[5]Bevételek!G163</f>
        <v>869953</v>
      </c>
      <c r="Z9" s="277">
        <v>187174</v>
      </c>
      <c r="AA9" s="274">
        <f>Z9+Y9</f>
        <v>1057127</v>
      </c>
      <c r="AB9" s="274">
        <f>'[1]Bevételek 1m'!K161</f>
        <v>91627</v>
      </c>
      <c r="AC9" s="274">
        <f>'[1]Bevételek 1m'!L161</f>
        <v>1148754</v>
      </c>
      <c r="AD9" s="274">
        <f>'[1]Bevételek 1m'!M161</f>
        <v>42016</v>
      </c>
      <c r="AE9" s="274">
        <f>'[1]Bevételek 1m'!N161</f>
        <v>1190770</v>
      </c>
      <c r="AF9" s="274">
        <f>'[1]Bevételek 1m'!O161</f>
        <v>1077811</v>
      </c>
      <c r="AG9" s="354">
        <f>'[1]Bevételek 1m'!R161</f>
        <v>1788019</v>
      </c>
      <c r="AH9" s="274">
        <f>'[1]Bevételek 1m'!S161</f>
        <v>1983647</v>
      </c>
      <c r="AI9" s="274">
        <f>'[1]Bevételek 1m'!T161</f>
        <v>2352080</v>
      </c>
      <c r="AJ9" s="274">
        <f>'[1]Bevételek 1m'!U161</f>
        <v>216192</v>
      </c>
      <c r="AK9" s="274">
        <f>'[1]Bevételek 1m'!V161</f>
        <v>2568272</v>
      </c>
      <c r="AL9" s="674">
        <f>'[3]Bevételek 1m'!W162</f>
        <v>52672</v>
      </c>
      <c r="AM9" s="674">
        <f>SUM(AK9:AL9)</f>
        <v>2620944</v>
      </c>
      <c r="AN9" s="674">
        <f>'[6]Bevételek 1m.'!Y162</f>
        <v>23875</v>
      </c>
      <c r="AO9" s="674">
        <f>SUM(AM9:AN9)</f>
        <v>2644819</v>
      </c>
    </row>
    <row r="10" spans="1:41">
      <c r="A10" s="246">
        <v>3</v>
      </c>
      <c r="B10" s="275" t="s">
        <v>148</v>
      </c>
      <c r="C10" s="274">
        <v>187274</v>
      </c>
      <c r="D10" s="274">
        <v>267738</v>
      </c>
      <c r="E10" s="274">
        <f>[5]Kiadások!F151</f>
        <v>212275</v>
      </c>
      <c r="F10" s="274">
        <v>34754</v>
      </c>
      <c r="G10" s="274">
        <f t="shared" ref="G10:G17" si="0">F10+E10</f>
        <v>247029</v>
      </c>
      <c r="H10" s="274">
        <f>'[1]Kiadások 2m'!J141</f>
        <v>15126</v>
      </c>
      <c r="I10" s="274">
        <f>'[1]Kiadások 2m'!K141</f>
        <v>262155</v>
      </c>
      <c r="J10" s="274">
        <f>'[1]Kiadások 2m'!L141</f>
        <v>10974</v>
      </c>
      <c r="K10" s="274">
        <f>'[1]Kiadások 2m'!M141</f>
        <v>273129</v>
      </c>
      <c r="L10" s="274">
        <f>'[1]Kiadások 2m'!N141</f>
        <v>225299</v>
      </c>
      <c r="M10" s="354">
        <f>'[1]Kiadások 2m'!Q141</f>
        <v>211865</v>
      </c>
      <c r="N10" s="274">
        <f>'[1]Kiadások 2m'!R141</f>
        <v>242869</v>
      </c>
      <c r="O10" s="274">
        <f>'[1]Kiadások 2m'!S141</f>
        <v>295559</v>
      </c>
      <c r="P10" s="274">
        <f>'[1]Kiadások 2m'!T141</f>
        <v>11763</v>
      </c>
      <c r="Q10" s="274">
        <f>'[1]Kiadások 2m'!U141</f>
        <v>307322</v>
      </c>
      <c r="R10" s="674">
        <f>'[3]Kiadások 2m'!V142</f>
        <v>9405</v>
      </c>
      <c r="S10" s="674">
        <f t="shared" ref="S10:S14" si="1">SUM(Q10:R10)</f>
        <v>316727</v>
      </c>
      <c r="T10" s="674">
        <f>'[6]Kiadások 2m.'!X142</f>
        <v>2595</v>
      </c>
      <c r="U10" s="674">
        <f t="shared" ref="U10:U14" si="2">SUM(S10:T10)</f>
        <v>319322</v>
      </c>
      <c r="V10" s="278" t="s">
        <v>444</v>
      </c>
      <c r="W10" s="274">
        <v>339948</v>
      </c>
      <c r="X10" s="274">
        <v>442456</v>
      </c>
      <c r="Y10" s="276">
        <f>[5]Bevételek!G173</f>
        <v>488190</v>
      </c>
      <c r="Z10" s="277">
        <v>5019</v>
      </c>
      <c r="AA10" s="274">
        <f>Z10+Y10</f>
        <v>493209</v>
      </c>
      <c r="AB10" s="274">
        <f>'[1]Bevételek 1m'!K171</f>
        <v>118433</v>
      </c>
      <c r="AC10" s="274">
        <f>'[1]Bevételek 1m'!L171</f>
        <v>611642</v>
      </c>
      <c r="AD10" s="274">
        <f>'[1]Bevételek 1m'!M171</f>
        <v>46000</v>
      </c>
      <c r="AE10" s="274">
        <f>'[1]Bevételek 1m'!N171</f>
        <v>657642</v>
      </c>
      <c r="AF10" s="274">
        <f>'[1]Bevételek 1m'!O171</f>
        <v>532113</v>
      </c>
      <c r="AG10" s="354">
        <f>'[1]Bevételek 1m'!R171</f>
        <v>821690</v>
      </c>
      <c r="AH10" s="274">
        <f>'[1]Bevételek 1m'!S171</f>
        <v>735184</v>
      </c>
      <c r="AI10" s="274">
        <f>'[1]Bevételek 1m'!T171</f>
        <v>728591</v>
      </c>
      <c r="AJ10" s="274">
        <f>'[1]Bevételek 1m'!U171</f>
        <v>36445</v>
      </c>
      <c r="AK10" s="274">
        <f>'[1]Bevételek 1m'!V171</f>
        <v>765036</v>
      </c>
      <c r="AL10" s="674">
        <f>'[3]Bevételek 1m'!W172</f>
        <v>12033</v>
      </c>
      <c r="AM10" s="674">
        <f t="shared" ref="AM10:AM15" si="3">SUM(AK10:AL10)</f>
        <v>777069</v>
      </c>
      <c r="AN10" s="674">
        <f>'[6]Bevételek 1m.'!Y172</f>
        <v>800</v>
      </c>
      <c r="AO10" s="674">
        <f t="shared" ref="AO10:AO15" si="4">SUM(AM10:AN10)</f>
        <v>777869</v>
      </c>
    </row>
    <row r="11" spans="1:41">
      <c r="A11" s="246">
        <v>4</v>
      </c>
      <c r="B11" s="245" t="s">
        <v>149</v>
      </c>
      <c r="C11" s="274">
        <v>981343</v>
      </c>
      <c r="D11" s="242">
        <v>2220366</v>
      </c>
      <c r="E11" s="274">
        <f>[5]Kiadások!F152</f>
        <v>1029983</v>
      </c>
      <c r="F11" s="274">
        <v>400538</v>
      </c>
      <c r="G11" s="274">
        <f t="shared" si="0"/>
        <v>1430521</v>
      </c>
      <c r="H11" s="274">
        <f>'[1]Kiadások 2m'!J142</f>
        <v>379651</v>
      </c>
      <c r="I11" s="274">
        <f>'[1]Kiadások 2m'!K142</f>
        <v>1810172</v>
      </c>
      <c r="J11" s="274">
        <f>'[1]Kiadások 2m'!L142</f>
        <v>148793</v>
      </c>
      <c r="K11" s="274">
        <f>'[1]Kiadások 2m'!M142</f>
        <v>1958965</v>
      </c>
      <c r="L11" s="274">
        <f>'[1]Kiadások 2m'!N142</f>
        <v>1351839</v>
      </c>
      <c r="M11" s="354">
        <f>'[1]Kiadások 2m'!Q142</f>
        <v>3585852</v>
      </c>
      <c r="N11" s="274">
        <f>'[1]Kiadások 2m'!R142</f>
        <v>2751335</v>
      </c>
      <c r="O11" s="274">
        <f>'[1]Kiadások 2m'!S142</f>
        <v>2286860</v>
      </c>
      <c r="P11" s="274">
        <f>'[1]Kiadások 2m'!T142</f>
        <v>66710</v>
      </c>
      <c r="Q11" s="274">
        <f>'[1]Kiadások 2m'!U142</f>
        <v>2353570</v>
      </c>
      <c r="R11" s="674">
        <f>'[3]Kiadások 2m'!V143</f>
        <v>7430</v>
      </c>
      <c r="S11" s="674">
        <f t="shared" si="1"/>
        <v>2361000</v>
      </c>
      <c r="T11" s="674">
        <f>'[6]Kiadások 2m.'!X143</f>
        <v>13430</v>
      </c>
      <c r="U11" s="674">
        <f t="shared" si="2"/>
        <v>2374430</v>
      </c>
      <c r="V11" s="278" t="s">
        <v>443</v>
      </c>
      <c r="W11" s="274">
        <v>0</v>
      </c>
      <c r="X11" s="274">
        <v>119955</v>
      </c>
      <c r="Y11" s="276">
        <f>[5]Bevételek!G174</f>
        <v>0</v>
      </c>
      <c r="Z11" s="277">
        <v>0</v>
      </c>
      <c r="AA11" s="245">
        <v>0</v>
      </c>
      <c r="AB11" s="274">
        <f>'[1]Bevételek 1m'!K172</f>
        <v>0</v>
      </c>
      <c r="AC11" s="274">
        <f>'[1]Bevételek 1m'!L172</f>
        <v>0</v>
      </c>
      <c r="AD11" s="245">
        <v>0</v>
      </c>
      <c r="AE11" s="245">
        <v>0</v>
      </c>
      <c r="AF11" s="274">
        <f>'[1]Bevételek 1m'!O172</f>
        <v>9200</v>
      </c>
      <c r="AG11" s="354">
        <f>'[1]Bevételek 1m'!R172</f>
        <v>0</v>
      </c>
      <c r="AH11" s="274">
        <f>'[1]Bevételek 1m'!S172</f>
        <v>0</v>
      </c>
      <c r="AI11" s="274">
        <f>'[1]Bevételek 1m'!T172</f>
        <v>100000</v>
      </c>
      <c r="AJ11" s="274">
        <f>'[1]Bevételek 1m'!U172</f>
        <v>0</v>
      </c>
      <c r="AK11" s="274">
        <f>'[1]Bevételek 1m'!V172</f>
        <v>100000</v>
      </c>
      <c r="AL11" s="674">
        <f>'[3]Bevételek 1m'!W173</f>
        <v>0</v>
      </c>
      <c r="AM11" s="674">
        <f t="shared" si="3"/>
        <v>100000</v>
      </c>
      <c r="AN11" s="674">
        <f>'[6]Bevételek 1m.'!Y173</f>
        <v>6900</v>
      </c>
      <c r="AO11" s="674">
        <f t="shared" si="4"/>
        <v>106900</v>
      </c>
    </row>
    <row r="12" spans="1:41">
      <c r="A12" s="246">
        <v>5</v>
      </c>
      <c r="B12" s="245" t="s">
        <v>150</v>
      </c>
      <c r="C12" s="274">
        <v>129000</v>
      </c>
      <c r="D12" s="274">
        <v>125043</v>
      </c>
      <c r="E12" s="274">
        <f>[5]Kiadások!F153</f>
        <v>108500</v>
      </c>
      <c r="F12" s="274">
        <v>24000</v>
      </c>
      <c r="G12" s="274">
        <f t="shared" si="0"/>
        <v>132500</v>
      </c>
      <c r="H12" s="274">
        <f>'[1]Kiadások 2m'!J143</f>
        <v>2724</v>
      </c>
      <c r="I12" s="274">
        <f>'[1]Kiadások 2m'!K143</f>
        <v>135224</v>
      </c>
      <c r="J12" s="274">
        <f>'[1]Kiadások 2m'!L143</f>
        <v>0</v>
      </c>
      <c r="K12" s="274">
        <f>'[1]Kiadások 2m'!M143</f>
        <v>135224</v>
      </c>
      <c r="L12" s="274">
        <f>'[1]Kiadások 2m'!N143</f>
        <v>149500</v>
      </c>
      <c r="M12" s="354">
        <f>'[1]Kiadások 2m'!Q143</f>
        <v>98650</v>
      </c>
      <c r="N12" s="274">
        <f>'[1]Kiadások 2m'!R143</f>
        <v>176650</v>
      </c>
      <c r="O12" s="274">
        <f>'[1]Kiadások 2m'!S143</f>
        <v>166650</v>
      </c>
      <c r="P12" s="274">
        <f>'[1]Kiadások 2m'!T143</f>
        <v>0</v>
      </c>
      <c r="Q12" s="274">
        <f>'[1]Kiadások 2m'!U143</f>
        <v>166650</v>
      </c>
      <c r="R12" s="674">
        <f>'[3]Kiadások 2m'!V144</f>
        <v>0</v>
      </c>
      <c r="S12" s="674">
        <f t="shared" si="1"/>
        <v>166650</v>
      </c>
      <c r="T12" s="674">
        <f>'[6]Kiadások 2m.'!X144</f>
        <v>1170</v>
      </c>
      <c r="U12" s="674">
        <f t="shared" si="2"/>
        <v>167820</v>
      </c>
      <c r="V12" s="278" t="s">
        <v>124</v>
      </c>
      <c r="W12" s="274">
        <v>0</v>
      </c>
      <c r="X12" s="274">
        <v>0</v>
      </c>
      <c r="Y12" s="276"/>
      <c r="Z12" s="277"/>
      <c r="AA12" s="245"/>
      <c r="AB12" s="274"/>
      <c r="AC12" s="274"/>
      <c r="AD12" s="245"/>
      <c r="AE12" s="245"/>
      <c r="AF12" s="279">
        <v>516000</v>
      </c>
      <c r="AG12" s="354">
        <f>'[1]Bevételek 1m'!R175</f>
        <v>395000</v>
      </c>
      <c r="AH12" s="274">
        <f>'[1]Bevételek 1m'!S175</f>
        <v>400000</v>
      </c>
      <c r="AI12" s="274">
        <f>'[1]Bevételek 1m'!T175</f>
        <v>405000</v>
      </c>
      <c r="AJ12" s="274">
        <f>'[1]Bevételek 1m'!U175</f>
        <v>0</v>
      </c>
      <c r="AK12" s="274">
        <f>'[1]Bevételek 1m'!V175</f>
        <v>405000</v>
      </c>
      <c r="AL12" s="674">
        <f>'[3]Bevételek 1m'!W176</f>
        <v>0</v>
      </c>
      <c r="AM12" s="674">
        <f t="shared" si="3"/>
        <v>405000</v>
      </c>
      <c r="AN12" s="674">
        <f>'[3]Bevételek 1m'!Y176</f>
        <v>0</v>
      </c>
      <c r="AO12" s="674">
        <f t="shared" si="4"/>
        <v>405000</v>
      </c>
    </row>
    <row r="13" spans="1:41">
      <c r="A13" s="246">
        <v>6</v>
      </c>
      <c r="B13" s="245" t="s">
        <v>152</v>
      </c>
      <c r="C13" s="274">
        <v>917126</v>
      </c>
      <c r="D13" s="274">
        <v>1178334</v>
      </c>
      <c r="E13" s="274">
        <f>[5]Kiadások!F154</f>
        <v>820174</v>
      </c>
      <c r="F13" s="274">
        <v>488004</v>
      </c>
      <c r="G13" s="274">
        <f t="shared" si="0"/>
        <v>1308178</v>
      </c>
      <c r="H13" s="274">
        <f>'[1]Kiadások 2m'!J144</f>
        <v>-205064</v>
      </c>
      <c r="I13" s="274">
        <f>'[1]Kiadások 2m'!K144</f>
        <v>1103114</v>
      </c>
      <c r="J13" s="274">
        <f>'[1]Kiadások 2m'!L144</f>
        <v>-183050</v>
      </c>
      <c r="K13" s="274">
        <f>'[1]Kiadások 2m'!M144</f>
        <v>920064</v>
      </c>
      <c r="L13" s="274">
        <f>'[1]Kiadások 2m'!N144</f>
        <v>901980</v>
      </c>
      <c r="M13" s="354">
        <f>'[1]Kiadások 2m'!Q144</f>
        <v>1597610</v>
      </c>
      <c r="N13" s="274">
        <f>'[1]Kiadások 2m'!R144</f>
        <v>1344387</v>
      </c>
      <c r="O13" s="274">
        <f>'[1]Kiadások 2m'!S144</f>
        <v>1726055</v>
      </c>
      <c r="P13" s="274">
        <f>'[1]Kiadások 2m'!T144</f>
        <v>28576</v>
      </c>
      <c r="Q13" s="274">
        <f>'[1]Kiadások 2m'!U144</f>
        <v>1754631</v>
      </c>
      <c r="R13" s="674">
        <f>'[3]Kiadások 2m'!V145</f>
        <v>-14971</v>
      </c>
      <c r="S13" s="674">
        <f t="shared" si="1"/>
        <v>1739660</v>
      </c>
      <c r="T13" s="674">
        <f>'[6]Kiadások 2m.'!X145</f>
        <v>200870</v>
      </c>
      <c r="U13" s="674">
        <f t="shared" si="2"/>
        <v>1940530</v>
      </c>
      <c r="V13" s="274" t="s">
        <v>164</v>
      </c>
      <c r="W13" s="274"/>
      <c r="X13" s="274"/>
      <c r="Y13" s="276"/>
      <c r="Z13" s="277"/>
      <c r="AA13" s="245"/>
      <c r="AB13" s="274"/>
      <c r="AC13" s="274"/>
      <c r="AD13" s="245"/>
      <c r="AE13" s="245"/>
      <c r="AF13" s="279">
        <v>1223000</v>
      </c>
      <c r="AG13" s="354">
        <f>'[1]Bevételek 1m'!R176</f>
        <v>1575000</v>
      </c>
      <c r="AH13" s="274">
        <f>'[1]Bevételek 1m'!S176</f>
        <v>1910000</v>
      </c>
      <c r="AI13" s="274">
        <f>'[1]Bevételek 1m'!T176</f>
        <v>2035000</v>
      </c>
      <c r="AJ13" s="274">
        <f>'[1]Bevételek 1m'!U176</f>
        <v>0</v>
      </c>
      <c r="AK13" s="274">
        <f>'[1]Bevételek 1m'!V176</f>
        <v>2035000</v>
      </c>
      <c r="AL13" s="674">
        <f>'[1]Bevételek 1m'!W176</f>
        <v>0</v>
      </c>
      <c r="AM13" s="674">
        <f t="shared" si="3"/>
        <v>2035000</v>
      </c>
      <c r="AN13" s="674">
        <f>'[6]Bevételek 1m.'!Y177</f>
        <v>208500</v>
      </c>
      <c r="AO13" s="674">
        <f t="shared" si="4"/>
        <v>2243500</v>
      </c>
    </row>
    <row r="14" spans="1:41">
      <c r="A14" s="246">
        <v>7</v>
      </c>
      <c r="B14" s="280" t="s">
        <v>153</v>
      </c>
      <c r="C14" s="274">
        <v>23371</v>
      </c>
      <c r="D14" s="274">
        <v>23371</v>
      </c>
      <c r="E14" s="274">
        <f>[5]Kiadások!F172</f>
        <v>25752</v>
      </c>
      <c r="F14" s="274">
        <v>0</v>
      </c>
      <c r="G14" s="274">
        <f t="shared" si="0"/>
        <v>25752</v>
      </c>
      <c r="H14" s="274">
        <v>0</v>
      </c>
      <c r="I14" s="274">
        <v>25752</v>
      </c>
      <c r="J14" s="274">
        <f>'[1]Kiadások 2m'!L160</f>
        <v>0</v>
      </c>
      <c r="K14" s="274">
        <f>'[1]Kiadások 2m'!M160</f>
        <v>25752</v>
      </c>
      <c r="L14" s="274">
        <f>'[1]Kiadások 2m'!N160</f>
        <v>35640</v>
      </c>
      <c r="M14" s="354">
        <f>'[1]Kiadások 2m'!Q160</f>
        <v>63437</v>
      </c>
      <c r="N14" s="274">
        <f>'[1]Kiadások 2m'!R160</f>
        <v>73080</v>
      </c>
      <c r="O14" s="274">
        <f>'[1]Kiadások 2m'!S160</f>
        <v>81776</v>
      </c>
      <c r="P14" s="274">
        <f>'[1]Kiadások 2m'!T160</f>
        <v>0</v>
      </c>
      <c r="Q14" s="274">
        <f>'[1]Kiadások 2m'!U160</f>
        <v>81776</v>
      </c>
      <c r="R14" s="674">
        <f>'[1]Kiadások 2m'!V160</f>
        <v>0</v>
      </c>
      <c r="S14" s="674">
        <f t="shared" si="1"/>
        <v>81776</v>
      </c>
      <c r="T14" s="674">
        <f>'[6]Kiadások 2m.'!X161</f>
        <v>0</v>
      </c>
      <c r="U14" s="674">
        <f t="shared" si="2"/>
        <v>81776</v>
      </c>
      <c r="V14" s="274" t="s">
        <v>165</v>
      </c>
      <c r="W14" s="274"/>
      <c r="X14" s="274"/>
      <c r="Y14" s="276"/>
      <c r="Z14" s="277"/>
      <c r="AA14" s="245"/>
      <c r="AB14" s="274"/>
      <c r="AC14" s="274"/>
      <c r="AD14" s="245"/>
      <c r="AE14" s="245"/>
      <c r="AF14" s="279">
        <v>2000</v>
      </c>
      <c r="AG14" s="354">
        <f>'[1]Bevételek 1m'!R177</f>
        <v>4000</v>
      </c>
      <c r="AH14" s="274">
        <f>'[1]Bevételek 1m'!S177</f>
        <v>6000</v>
      </c>
      <c r="AI14" s="274">
        <f>'[1]Bevételek 1m'!T177</f>
        <v>4000</v>
      </c>
      <c r="AJ14" s="274">
        <f>'[1]Bevételek 1m'!U177</f>
        <v>0</v>
      </c>
      <c r="AK14" s="274">
        <f>'[1]Bevételek 1m'!V177</f>
        <v>4000</v>
      </c>
      <c r="AL14" s="674">
        <f>'[1]Bevételek 1m'!W177</f>
        <v>0</v>
      </c>
      <c r="AM14" s="674">
        <f t="shared" si="3"/>
        <v>4000</v>
      </c>
      <c r="AN14" s="674">
        <f>'[1]Bevételek 1m'!Y177</f>
        <v>0</v>
      </c>
      <c r="AO14" s="674">
        <f t="shared" si="4"/>
        <v>4000</v>
      </c>
    </row>
    <row r="15" spans="1:41">
      <c r="A15" s="246">
        <v>8</v>
      </c>
      <c r="B15" s="245" t="s">
        <v>154</v>
      </c>
      <c r="C15" s="274">
        <v>0</v>
      </c>
      <c r="D15" s="274">
        <v>0</v>
      </c>
      <c r="E15" s="274">
        <v>0</v>
      </c>
      <c r="F15" s="274"/>
      <c r="G15" s="274">
        <f t="shared" si="0"/>
        <v>0</v>
      </c>
      <c r="H15" s="274">
        <v>0</v>
      </c>
      <c r="I15" s="274"/>
      <c r="J15" s="274">
        <v>0</v>
      </c>
      <c r="K15" s="274">
        <v>0</v>
      </c>
      <c r="L15" s="274"/>
      <c r="M15" s="354"/>
      <c r="N15" s="274"/>
      <c r="O15" s="274"/>
      <c r="P15" s="274"/>
      <c r="Q15" s="274"/>
      <c r="R15" s="674"/>
      <c r="S15" s="674"/>
      <c r="T15" s="674"/>
      <c r="U15" s="674"/>
      <c r="V15" s="274" t="s">
        <v>129</v>
      </c>
      <c r="W15" s="274"/>
      <c r="X15" s="274"/>
      <c r="Y15" s="276"/>
      <c r="Z15" s="277"/>
      <c r="AA15" s="245"/>
      <c r="AB15" s="274"/>
      <c r="AC15" s="274"/>
      <c r="AD15" s="245"/>
      <c r="AE15" s="245"/>
      <c r="AF15" s="245">
        <v>0</v>
      </c>
      <c r="AG15" s="354">
        <v>0</v>
      </c>
      <c r="AH15" s="274">
        <v>0</v>
      </c>
      <c r="AI15" s="274">
        <v>0</v>
      </c>
      <c r="AJ15" s="274">
        <v>0</v>
      </c>
      <c r="AK15" s="274">
        <v>0</v>
      </c>
      <c r="AL15" s="674">
        <f>'[1]Bevételek 1m'!W178</f>
        <v>0</v>
      </c>
      <c r="AM15" s="674">
        <f t="shared" si="3"/>
        <v>0</v>
      </c>
      <c r="AN15" s="674">
        <f>'[1]Bevételek 1m'!Y178</f>
        <v>0</v>
      </c>
      <c r="AO15" s="674">
        <f t="shared" si="4"/>
        <v>0</v>
      </c>
    </row>
    <row r="16" spans="1:41">
      <c r="A16" s="246">
        <v>9</v>
      </c>
      <c r="B16" s="245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354"/>
      <c r="N16" s="274"/>
      <c r="O16" s="274"/>
      <c r="P16" s="274"/>
      <c r="Q16" s="274"/>
      <c r="R16" s="674"/>
      <c r="S16" s="674"/>
      <c r="T16" s="674"/>
      <c r="U16" s="674"/>
      <c r="V16" s="274" t="s">
        <v>151</v>
      </c>
      <c r="W16" s="274"/>
      <c r="X16" s="274"/>
      <c r="Y16" s="276"/>
      <c r="Z16" s="277"/>
      <c r="AA16" s="245"/>
      <c r="AB16" s="274"/>
      <c r="AC16" s="274"/>
      <c r="AD16" s="245"/>
      <c r="AE16" s="245"/>
      <c r="AF16" s="245"/>
      <c r="AG16" s="354"/>
      <c r="AH16" s="274"/>
      <c r="AI16" s="274"/>
      <c r="AJ16" s="274"/>
      <c r="AK16" s="274"/>
      <c r="AL16" s="674"/>
      <c r="AM16" s="674"/>
      <c r="AN16" s="674"/>
      <c r="AO16" s="674"/>
    </row>
    <row r="17" spans="1:44">
      <c r="A17" s="246">
        <v>10</v>
      </c>
      <c r="B17" s="281" t="s">
        <v>155</v>
      </c>
      <c r="C17" s="282">
        <f>SUM(C9:C15)</f>
        <v>3327908</v>
      </c>
      <c r="D17" s="282">
        <f>SUM(D9:D15)</f>
        <v>5465109</v>
      </c>
      <c r="E17" s="282">
        <f>SUM(E9:E15)</f>
        <v>3295204</v>
      </c>
      <c r="F17" s="282">
        <f>SUM(F9:F15)</f>
        <v>1224924</v>
      </c>
      <c r="G17" s="282">
        <f t="shared" si="0"/>
        <v>4520128</v>
      </c>
      <c r="H17" s="282">
        <f t="shared" ref="H17:S17" si="5">SUM(H9:H15)</f>
        <v>245974</v>
      </c>
      <c r="I17" s="282">
        <f t="shared" si="5"/>
        <v>4766102</v>
      </c>
      <c r="J17" s="282">
        <f t="shared" si="5"/>
        <v>18451</v>
      </c>
      <c r="K17" s="282">
        <f t="shared" si="5"/>
        <v>4784553</v>
      </c>
      <c r="L17" s="282">
        <f t="shared" si="5"/>
        <v>3920825</v>
      </c>
      <c r="M17" s="356">
        <f t="shared" si="5"/>
        <v>6970094</v>
      </c>
      <c r="N17" s="589">
        <f t="shared" si="5"/>
        <v>6250787</v>
      </c>
      <c r="O17" s="589">
        <f t="shared" si="5"/>
        <v>6564245</v>
      </c>
      <c r="P17" s="589">
        <f t="shared" si="5"/>
        <v>279243</v>
      </c>
      <c r="Q17" s="589">
        <f t="shared" si="5"/>
        <v>6843488</v>
      </c>
      <c r="R17" s="675">
        <f>SUM(R9:R15)</f>
        <v>58786</v>
      </c>
      <c r="S17" s="675">
        <f t="shared" si="5"/>
        <v>6902274</v>
      </c>
      <c r="T17" s="675">
        <f>SUM(T9:T15)</f>
        <v>240075</v>
      </c>
      <c r="U17" s="675">
        <f t="shared" ref="U17" si="6">SUM(U9:U15)</f>
        <v>7142349</v>
      </c>
      <c r="V17" s="282" t="s">
        <v>156</v>
      </c>
      <c r="W17" s="282">
        <f>SUM(W9:W15)</f>
        <v>1123281</v>
      </c>
      <c r="X17" s="282">
        <f>SUM(X9:X15)</f>
        <v>2323601</v>
      </c>
      <c r="Y17" s="283">
        <f>SUM(Y9:Y15)</f>
        <v>1358143</v>
      </c>
      <c r="Z17" s="284">
        <f>SUM(Z9:Z15)</f>
        <v>192193</v>
      </c>
      <c r="AA17" s="282">
        <f>SUM(AA9:AA15)</f>
        <v>1550336</v>
      </c>
      <c r="AB17" s="282">
        <f>AB9+AB10</f>
        <v>210060</v>
      </c>
      <c r="AC17" s="282">
        <f>AC9+AC10</f>
        <v>1760396</v>
      </c>
      <c r="AD17" s="282">
        <f>AD9+AD10</f>
        <v>88016</v>
      </c>
      <c r="AE17" s="282">
        <f>AE9+AE10</f>
        <v>1848412</v>
      </c>
      <c r="AF17" s="282">
        <f t="shared" ref="AF17:AO17" si="7">SUM(AF9:AF16)</f>
        <v>3360124</v>
      </c>
      <c r="AG17" s="356">
        <f t="shared" si="7"/>
        <v>4583709</v>
      </c>
      <c r="AH17" s="589">
        <f t="shared" si="7"/>
        <v>5034831</v>
      </c>
      <c r="AI17" s="589">
        <f t="shared" si="7"/>
        <v>5624671</v>
      </c>
      <c r="AJ17" s="589">
        <f t="shared" si="7"/>
        <v>252637</v>
      </c>
      <c r="AK17" s="589">
        <f t="shared" si="7"/>
        <v>5877308</v>
      </c>
      <c r="AL17" s="675">
        <f t="shared" si="7"/>
        <v>64705</v>
      </c>
      <c r="AM17" s="675">
        <f t="shared" si="7"/>
        <v>5942013</v>
      </c>
      <c r="AN17" s="675">
        <f t="shared" si="7"/>
        <v>240075</v>
      </c>
      <c r="AO17" s="675">
        <f t="shared" si="7"/>
        <v>6182088</v>
      </c>
    </row>
    <row r="18" spans="1:44">
      <c r="A18" s="246">
        <v>11</v>
      </c>
      <c r="B18" s="245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354"/>
      <c r="N18" s="274"/>
      <c r="O18" s="274"/>
      <c r="P18" s="274"/>
      <c r="Q18" s="274"/>
      <c r="R18" s="674"/>
      <c r="S18" s="674"/>
      <c r="T18" s="674"/>
      <c r="U18" s="674"/>
      <c r="V18" s="278" t="s">
        <v>157</v>
      </c>
      <c r="W18" s="286">
        <v>476480</v>
      </c>
      <c r="X18" s="274">
        <v>3141508</v>
      </c>
      <c r="Y18" s="276">
        <v>0</v>
      </c>
      <c r="Z18" s="277"/>
      <c r="AA18" s="245">
        <v>0</v>
      </c>
      <c r="AB18" s="274">
        <v>0</v>
      </c>
      <c r="AC18" s="274">
        <v>0</v>
      </c>
      <c r="AD18" s="245">
        <v>0</v>
      </c>
      <c r="AE18" s="245">
        <v>0</v>
      </c>
      <c r="AF18" s="245"/>
      <c r="AG18" s="354">
        <v>2386385</v>
      </c>
      <c r="AH18" s="274">
        <v>1215956</v>
      </c>
      <c r="AI18" s="274">
        <v>939574</v>
      </c>
      <c r="AJ18" s="274">
        <v>20606</v>
      </c>
      <c r="AK18" s="274">
        <f>SUM(AI18:AJ18)</f>
        <v>960180</v>
      </c>
      <c r="AL18" s="674">
        <v>0</v>
      </c>
      <c r="AM18" s="674">
        <f t="shared" ref="AM18" si="8">SUM(AK18:AL18)</f>
        <v>960180</v>
      </c>
      <c r="AN18" s="674">
        <v>0</v>
      </c>
      <c r="AO18" s="674">
        <f t="shared" ref="AO18" si="9">SUM(AM18:AN18)</f>
        <v>960180</v>
      </c>
      <c r="AQ18" s="285">
        <f>O19-AI19</f>
        <v>0</v>
      </c>
    </row>
    <row r="19" spans="1:44">
      <c r="A19" s="246">
        <v>12</v>
      </c>
      <c r="B19" s="281" t="s">
        <v>158</v>
      </c>
      <c r="C19" s="282">
        <f>C17</f>
        <v>3327908</v>
      </c>
      <c r="D19" s="282">
        <f t="shared" ref="D19:K19" si="10">D17</f>
        <v>5465109</v>
      </c>
      <c r="E19" s="282">
        <f t="shared" si="10"/>
        <v>3295204</v>
      </c>
      <c r="F19" s="282">
        <f t="shared" si="10"/>
        <v>1224924</v>
      </c>
      <c r="G19" s="282">
        <f t="shared" si="10"/>
        <v>4520128</v>
      </c>
      <c r="H19" s="282">
        <f t="shared" si="10"/>
        <v>245974</v>
      </c>
      <c r="I19" s="282">
        <f t="shared" si="10"/>
        <v>4766102</v>
      </c>
      <c r="J19" s="282">
        <f t="shared" si="10"/>
        <v>18451</v>
      </c>
      <c r="K19" s="282">
        <f t="shared" si="10"/>
        <v>4784553</v>
      </c>
      <c r="L19" s="282">
        <f>L17</f>
        <v>3920825</v>
      </c>
      <c r="M19" s="356">
        <f t="shared" ref="M19:U19" si="11">SUM(M17)</f>
        <v>6970094</v>
      </c>
      <c r="N19" s="589">
        <f t="shared" si="11"/>
        <v>6250787</v>
      </c>
      <c r="O19" s="589">
        <f t="shared" si="11"/>
        <v>6564245</v>
      </c>
      <c r="P19" s="589">
        <f t="shared" si="11"/>
        <v>279243</v>
      </c>
      <c r="Q19" s="589">
        <f t="shared" si="11"/>
        <v>6843488</v>
      </c>
      <c r="R19" s="675">
        <f t="shared" si="11"/>
        <v>58786</v>
      </c>
      <c r="S19" s="675">
        <f t="shared" si="11"/>
        <v>6902274</v>
      </c>
      <c r="T19" s="675">
        <f t="shared" si="11"/>
        <v>240075</v>
      </c>
      <c r="U19" s="675">
        <f t="shared" si="11"/>
        <v>7142349</v>
      </c>
      <c r="V19" s="282" t="s">
        <v>159</v>
      </c>
      <c r="W19" s="282">
        <f>SUM(W17:W18)</f>
        <v>1599761</v>
      </c>
      <c r="X19" s="282">
        <f t="shared" ref="X19" si="12">SUM(X17:X18)</f>
        <v>5465109</v>
      </c>
      <c r="Y19" s="283">
        <f>SUM(Y17:Y18)</f>
        <v>1358143</v>
      </c>
      <c r="Z19" s="284">
        <f>SUM(Z17:Z18)</f>
        <v>192193</v>
      </c>
      <c r="AA19" s="282">
        <f>Z19+Y19</f>
        <v>1550336</v>
      </c>
      <c r="AB19" s="282">
        <f>AB17</f>
        <v>210060</v>
      </c>
      <c r="AC19" s="282">
        <f>AC17</f>
        <v>1760396</v>
      </c>
      <c r="AD19" s="282">
        <f>AD17</f>
        <v>88016</v>
      </c>
      <c r="AE19" s="282">
        <f>AE17</f>
        <v>1848412</v>
      </c>
      <c r="AF19" s="282">
        <f>AF17</f>
        <v>3360124</v>
      </c>
      <c r="AG19" s="356">
        <f t="shared" ref="AG19:AO19" si="13">SUM(AG17+AG18)</f>
        <v>6970094</v>
      </c>
      <c r="AH19" s="589">
        <f t="shared" si="13"/>
        <v>6250787</v>
      </c>
      <c r="AI19" s="589">
        <f t="shared" si="13"/>
        <v>6564245</v>
      </c>
      <c r="AJ19" s="589">
        <f t="shared" si="13"/>
        <v>273243</v>
      </c>
      <c r="AK19" s="589">
        <f t="shared" si="13"/>
        <v>6837488</v>
      </c>
      <c r="AL19" s="675">
        <f t="shared" si="13"/>
        <v>64705</v>
      </c>
      <c r="AM19" s="675">
        <f t="shared" si="13"/>
        <v>6902193</v>
      </c>
      <c r="AN19" s="675">
        <f t="shared" si="13"/>
        <v>240075</v>
      </c>
      <c r="AO19" s="675">
        <f t="shared" si="13"/>
        <v>7142268</v>
      </c>
      <c r="AP19" s="287" t="str">
        <f>IF(AI19&gt;=0,"OK","nem OK")</f>
        <v>OK</v>
      </c>
    </row>
    <row r="20" spans="1:44">
      <c r="A20" s="246">
        <v>13</v>
      </c>
      <c r="B20" s="245" t="s">
        <v>442</v>
      </c>
      <c r="C20" s="274">
        <v>4223234</v>
      </c>
      <c r="D20" s="274">
        <v>5227625</v>
      </c>
      <c r="E20" s="274">
        <f>[5]Kiadások!F163</f>
        <v>3274039</v>
      </c>
      <c r="F20" s="274">
        <v>-438012</v>
      </c>
      <c r="G20" s="274">
        <f>E20+F20</f>
        <v>2836027</v>
      </c>
      <c r="H20" s="274">
        <f>'[1]Kiadások 2m'!J151</f>
        <v>-398223</v>
      </c>
      <c r="I20" s="274">
        <f>'[1]Kiadások 2m'!K151</f>
        <v>2437804</v>
      </c>
      <c r="J20" s="274">
        <f>'[1]Kiadások 2m'!L151</f>
        <v>213502</v>
      </c>
      <c r="K20" s="274">
        <f>'[1]Kiadások 2m'!M151</f>
        <v>2651306</v>
      </c>
      <c r="L20" s="274">
        <f>'[1]Kiadások 2m'!N151</f>
        <v>848063</v>
      </c>
      <c r="M20" s="354">
        <f>'[1]Kiadások 2m'!Q151</f>
        <v>4983477</v>
      </c>
      <c r="N20" s="274">
        <f>'[1]Kiadások 2m'!R151</f>
        <v>3335248</v>
      </c>
      <c r="O20" s="274">
        <f>'[1]Kiadások 2m'!S151</f>
        <v>282003</v>
      </c>
      <c r="P20" s="274">
        <f>'[1]Kiadások 2m'!T151</f>
        <v>12586</v>
      </c>
      <c r="Q20" s="274">
        <f>'[1]Kiadások 2m'!U151</f>
        <v>294589</v>
      </c>
      <c r="R20" s="674">
        <f>'[3]Kiadások 2m'!V152</f>
        <v>-18200</v>
      </c>
      <c r="S20" s="674">
        <f t="shared" ref="S20:S22" si="14">SUM(Q20:R20)</f>
        <v>276389</v>
      </c>
      <c r="T20" s="674">
        <f>'[6]Kiadások 2m.'!X152</f>
        <v>20092</v>
      </c>
      <c r="U20" s="674">
        <f t="shared" ref="U20:U22" si="15">SUM(S20:T20)</f>
        <v>296481</v>
      </c>
      <c r="V20" s="274" t="s">
        <v>160</v>
      </c>
      <c r="W20" s="274"/>
      <c r="X20" s="274">
        <v>448150</v>
      </c>
      <c r="Y20" s="276">
        <f>[5]Bevételek!G176</f>
        <v>0</v>
      </c>
      <c r="Z20" s="277">
        <v>0</v>
      </c>
      <c r="AA20" s="245"/>
      <c r="AB20" s="274"/>
      <c r="AC20" s="274"/>
      <c r="AD20" s="245"/>
      <c r="AE20" s="245"/>
      <c r="AF20" s="245"/>
      <c r="AG20" s="354">
        <v>0</v>
      </c>
      <c r="AH20" s="274">
        <f>'[1]Bevételek 1m'!S179</f>
        <v>0</v>
      </c>
      <c r="AI20" s="274">
        <f>'[1]Bevételek 1m'!T179</f>
        <v>0</v>
      </c>
      <c r="AJ20" s="274">
        <f>'[1]Bevételek 1m'!U179</f>
        <v>0</v>
      </c>
      <c r="AK20" s="274">
        <f>'[1]Bevételek 1m'!V179</f>
        <v>0</v>
      </c>
      <c r="AL20" s="674">
        <f>'[1]Bevételek 1m'!W179</f>
        <v>0</v>
      </c>
      <c r="AM20" s="674">
        <f t="shared" ref="AM20:AM26" si="16">SUM(AK20:AL20)</f>
        <v>0</v>
      </c>
      <c r="AN20" s="674">
        <f>'[1]Bevételek 1m'!Y179</f>
        <v>0</v>
      </c>
      <c r="AO20" s="674">
        <f t="shared" ref="AO20:AO26" si="17">SUM(AM20:AN20)</f>
        <v>0</v>
      </c>
    </row>
    <row r="21" spans="1:44" ht="25.5">
      <c r="A21" s="246">
        <v>14</v>
      </c>
      <c r="B21" s="245" t="s">
        <v>161</v>
      </c>
      <c r="C21" s="274">
        <v>110180</v>
      </c>
      <c r="D21" s="274">
        <v>1205666</v>
      </c>
      <c r="E21" s="274">
        <f>[5]Kiadások!F164</f>
        <v>677316</v>
      </c>
      <c r="F21" s="274">
        <v>-4445</v>
      </c>
      <c r="G21" s="274">
        <f t="shared" ref="G21:G22" si="18">E21+F21</f>
        <v>672871</v>
      </c>
      <c r="H21" s="274">
        <f>'[1]Kiadások 2m'!J152</f>
        <v>350622</v>
      </c>
      <c r="I21" s="274">
        <f>'[1]Kiadások 2m'!K152</f>
        <v>1023493</v>
      </c>
      <c r="J21" s="274">
        <f>'[1]Kiadások 2m'!L152</f>
        <v>9149</v>
      </c>
      <c r="K21" s="274">
        <f>'[1]Kiadások 2m'!M152</f>
        <v>1032642</v>
      </c>
      <c r="L21" s="274">
        <f>'[1]Kiadások 2m'!N152</f>
        <v>673774</v>
      </c>
      <c r="M21" s="354">
        <f>'[1]Kiadások 2m'!Q152</f>
        <v>151154</v>
      </c>
      <c r="N21" s="274">
        <f>'[1]Kiadások 2m'!R152</f>
        <v>31250</v>
      </c>
      <c r="O21" s="274">
        <f>'[1]Kiadások 2m'!S152</f>
        <v>535214</v>
      </c>
      <c r="P21" s="274">
        <f>'[1]Kiadások 2m'!T152</f>
        <v>264574</v>
      </c>
      <c r="Q21" s="274">
        <f>'[1]Kiadások 2m'!U152</f>
        <v>799788</v>
      </c>
      <c r="R21" s="674">
        <f>'[3]Kiadások 2m'!V153</f>
        <v>27230</v>
      </c>
      <c r="S21" s="674">
        <f t="shared" si="14"/>
        <v>827018</v>
      </c>
      <c r="T21" s="674">
        <f>'[6]Kiadások 2m.'!X153</f>
        <v>143368</v>
      </c>
      <c r="U21" s="674">
        <f t="shared" si="15"/>
        <v>970386</v>
      </c>
      <c r="V21" s="278" t="s">
        <v>162</v>
      </c>
      <c r="W21" s="274"/>
      <c r="X21" s="274">
        <v>1533274</v>
      </c>
      <c r="Y21" s="276">
        <v>0</v>
      </c>
      <c r="Z21" s="277">
        <v>4000</v>
      </c>
      <c r="AA21" s="274">
        <v>4000</v>
      </c>
      <c r="AB21" s="274">
        <f>'[1]Bevételek 1m'!K181</f>
        <v>0</v>
      </c>
      <c r="AC21" s="274">
        <f>'[1]Bevételek 1m'!L181</f>
        <v>4000</v>
      </c>
      <c r="AD21" s="245">
        <f>'[1]Bevételek 1m'!M181</f>
        <v>0</v>
      </c>
      <c r="AE21" s="274">
        <f>'[1]Bevételek 1m'!N181</f>
        <v>4000</v>
      </c>
      <c r="AF21" s="274">
        <f>'[1]Bevételek 1m'!O181</f>
        <v>59999</v>
      </c>
      <c r="AG21" s="354">
        <f>'[1]Bevételek 1m'!R181</f>
        <v>3117203</v>
      </c>
      <c r="AH21" s="274">
        <f>'[1]Bevételek 1m'!S181</f>
        <v>2530054</v>
      </c>
      <c r="AI21" s="274">
        <f>'[1]Bevételek 1m'!T181</f>
        <v>704629</v>
      </c>
      <c r="AJ21" s="274">
        <f>'[1]Bevételek 1m'!U181</f>
        <v>273793</v>
      </c>
      <c r="AK21" s="274">
        <f>'[1]Bevételek 1m'!V181</f>
        <v>978422</v>
      </c>
      <c r="AL21" s="674">
        <f>'[3]Bevételek 1m'!W182</f>
        <v>0</v>
      </c>
      <c r="AM21" s="674">
        <f t="shared" si="16"/>
        <v>978422</v>
      </c>
      <c r="AN21" s="674">
        <f>'[6]Bevételek 1m.'!Y182</f>
        <v>163460</v>
      </c>
      <c r="AO21" s="674">
        <f t="shared" si="17"/>
        <v>1141882</v>
      </c>
    </row>
    <row r="22" spans="1:44">
      <c r="A22" s="246">
        <v>15</v>
      </c>
      <c r="B22" s="245" t="s">
        <v>163</v>
      </c>
      <c r="C22" s="274">
        <v>15000</v>
      </c>
      <c r="D22" s="274">
        <v>50000</v>
      </c>
      <c r="E22" s="274">
        <f>[5]Kiadások!F165</f>
        <v>29000</v>
      </c>
      <c r="F22" s="274">
        <v>8000</v>
      </c>
      <c r="G22" s="274">
        <f t="shared" si="18"/>
        <v>37000</v>
      </c>
      <c r="H22" s="274">
        <f>'[1]Kiadások 2m'!J153</f>
        <v>11687</v>
      </c>
      <c r="I22" s="274">
        <f>'[1]Kiadások 2m'!K153</f>
        <v>48687</v>
      </c>
      <c r="J22" s="274">
        <f>'[1]Kiadások 2m'!L153</f>
        <v>0</v>
      </c>
      <c r="K22" s="274">
        <f>'[1]Kiadások 2m'!M153</f>
        <v>48687</v>
      </c>
      <c r="L22" s="274">
        <f>'[1]Kiadások 2m'!N153</f>
        <v>55000</v>
      </c>
      <c r="M22" s="354">
        <f>'[1]Kiadások 2m'!Q153</f>
        <v>2114</v>
      </c>
      <c r="N22" s="274">
        <f>'[1]Kiadások 2m'!R153</f>
        <v>124445</v>
      </c>
      <c r="O22" s="274">
        <f>'[1]Kiadások 2m'!S153</f>
        <v>90681</v>
      </c>
      <c r="P22" s="274">
        <f>'[1]Kiadások 2m'!T153</f>
        <v>11</v>
      </c>
      <c r="Q22" s="274">
        <f>'[1]Kiadások 2m'!U153</f>
        <v>90692</v>
      </c>
      <c r="R22" s="674">
        <f>'[1]Kiadások 2m'!V153</f>
        <v>0</v>
      </c>
      <c r="S22" s="674">
        <f t="shared" si="14"/>
        <v>90692</v>
      </c>
      <c r="T22" s="674">
        <f>'[6]Kiadások 2m.'!X154</f>
        <v>0</v>
      </c>
      <c r="U22" s="674">
        <f t="shared" si="15"/>
        <v>90692</v>
      </c>
      <c r="V22" s="274" t="s">
        <v>446</v>
      </c>
      <c r="W22" s="274">
        <v>0</v>
      </c>
      <c r="X22" s="274">
        <v>36253</v>
      </c>
      <c r="Y22" s="276">
        <v>0</v>
      </c>
      <c r="Z22" s="277">
        <v>0</v>
      </c>
      <c r="AA22" s="274">
        <v>0</v>
      </c>
      <c r="AB22" s="274">
        <v>0</v>
      </c>
      <c r="AC22" s="274">
        <f>'[1]Bevételek 1m'!L183</f>
        <v>0</v>
      </c>
      <c r="AD22" s="274">
        <f>'[1]Bevételek 1m'!M183</f>
        <v>150000</v>
      </c>
      <c r="AE22" s="274">
        <f>'[1]Bevételek 1m'!N183</f>
        <v>150000</v>
      </c>
      <c r="AF22" s="245">
        <f>'[1]Bevételek 1m'!O183</f>
        <v>0</v>
      </c>
      <c r="AG22" s="354">
        <f>'[1]Bevételek 1m'!R183</f>
        <v>25127</v>
      </c>
      <c r="AH22" s="274">
        <f>'[1]Bevételek 1m'!S183</f>
        <v>73478</v>
      </c>
      <c r="AI22" s="274">
        <f>'[1]Bevételek 1m'!T183</f>
        <v>75953</v>
      </c>
      <c r="AJ22" s="274">
        <f>'[1]Bevételek 1m'!U183</f>
        <v>0</v>
      </c>
      <c r="AK22" s="274">
        <f>'[1]Bevételek 1m'!V183</f>
        <v>75953</v>
      </c>
      <c r="AL22" s="674">
        <f>'[3]Bevételek 1m'!W184</f>
        <v>3111</v>
      </c>
      <c r="AM22" s="674">
        <f t="shared" si="16"/>
        <v>79064</v>
      </c>
      <c r="AN22" s="674">
        <f>'[3]Bevételek 1m'!Y184</f>
        <v>0</v>
      </c>
      <c r="AO22" s="674">
        <f t="shared" si="17"/>
        <v>79064</v>
      </c>
    </row>
    <row r="23" spans="1:44">
      <c r="A23" s="246">
        <v>16</v>
      </c>
      <c r="B23" s="245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354"/>
      <c r="N23" s="274"/>
      <c r="O23" s="274"/>
      <c r="P23" s="274"/>
      <c r="Q23" s="274"/>
      <c r="R23" s="674"/>
      <c r="S23" s="674"/>
      <c r="T23" s="674"/>
      <c r="U23" s="674"/>
      <c r="V23" s="274"/>
      <c r="W23" s="274">
        <v>20000</v>
      </c>
      <c r="X23" s="274"/>
      <c r="Y23" s="276"/>
      <c r="Z23" s="277"/>
      <c r="AA23" s="274"/>
      <c r="AB23" s="274"/>
      <c r="AC23" s="274"/>
      <c r="AD23" s="245"/>
      <c r="AE23" s="245"/>
      <c r="AF23" s="245"/>
      <c r="AG23" s="354"/>
      <c r="AH23" s="274">
        <v>0</v>
      </c>
      <c r="AI23" s="274">
        <v>0</v>
      </c>
      <c r="AJ23" s="274">
        <v>0</v>
      </c>
      <c r="AK23" s="274">
        <v>0</v>
      </c>
      <c r="AL23" s="674">
        <v>0</v>
      </c>
      <c r="AM23" s="674">
        <f t="shared" si="16"/>
        <v>0</v>
      </c>
      <c r="AN23" s="674">
        <v>0</v>
      </c>
      <c r="AO23" s="674">
        <f t="shared" si="17"/>
        <v>0</v>
      </c>
      <c r="AR23" s="285">
        <f>N19-AH19</f>
        <v>0</v>
      </c>
    </row>
    <row r="24" spans="1:44">
      <c r="A24" s="246">
        <v>17</v>
      </c>
      <c r="B24" s="245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354"/>
      <c r="N24" s="274"/>
      <c r="O24" s="274"/>
      <c r="P24" s="274"/>
      <c r="Q24" s="274"/>
      <c r="R24" s="674"/>
      <c r="S24" s="674"/>
      <c r="T24" s="674"/>
      <c r="U24" s="674"/>
      <c r="V24" s="245"/>
      <c r="W24" s="274">
        <v>0</v>
      </c>
      <c r="X24" s="274"/>
      <c r="Y24" s="276"/>
      <c r="Z24" s="277"/>
      <c r="AA24" s="274"/>
      <c r="AB24" s="274"/>
      <c r="AC24" s="274"/>
      <c r="AD24" s="245"/>
      <c r="AE24" s="245"/>
      <c r="AF24" s="245"/>
      <c r="AG24" s="354"/>
      <c r="AH24" s="274">
        <v>0</v>
      </c>
      <c r="AI24" s="274">
        <v>0</v>
      </c>
      <c r="AJ24" s="274">
        <v>0</v>
      </c>
      <c r="AK24" s="274">
        <v>0</v>
      </c>
      <c r="AL24" s="674">
        <v>0</v>
      </c>
      <c r="AM24" s="674">
        <f t="shared" si="16"/>
        <v>0</v>
      </c>
      <c r="AN24" s="674">
        <v>0</v>
      </c>
      <c r="AO24" s="674">
        <f t="shared" si="17"/>
        <v>0</v>
      </c>
    </row>
    <row r="25" spans="1:44">
      <c r="A25" s="246">
        <v>18</v>
      </c>
      <c r="B25" s="245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354"/>
      <c r="N25" s="274"/>
      <c r="O25" s="274"/>
      <c r="P25" s="274"/>
      <c r="Q25" s="274"/>
      <c r="R25" s="674"/>
      <c r="S25" s="674"/>
      <c r="T25" s="674"/>
      <c r="U25" s="674"/>
      <c r="V25" s="245"/>
      <c r="W25" s="274">
        <v>2063955</v>
      </c>
      <c r="X25" s="274"/>
      <c r="Y25" s="276"/>
      <c r="Z25" s="277"/>
      <c r="AA25" s="274"/>
      <c r="AB25" s="274"/>
      <c r="AC25" s="274"/>
      <c r="AD25" s="245"/>
      <c r="AE25" s="245"/>
      <c r="AF25" s="245"/>
      <c r="AG25" s="354"/>
      <c r="AH25" s="274">
        <v>0</v>
      </c>
      <c r="AI25" s="274">
        <v>0</v>
      </c>
      <c r="AJ25" s="274">
        <v>0</v>
      </c>
      <c r="AK25" s="274">
        <v>0</v>
      </c>
      <c r="AL25" s="674">
        <v>0</v>
      </c>
      <c r="AM25" s="674">
        <f t="shared" si="16"/>
        <v>0</v>
      </c>
      <c r="AN25" s="674">
        <v>0</v>
      </c>
      <c r="AO25" s="674">
        <f t="shared" si="17"/>
        <v>0</v>
      </c>
    </row>
    <row r="26" spans="1:44">
      <c r="A26" s="246">
        <v>19</v>
      </c>
      <c r="B26" s="245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354"/>
      <c r="N26" s="274"/>
      <c r="O26" s="274"/>
      <c r="P26" s="274"/>
      <c r="Q26" s="274"/>
      <c r="R26" s="674"/>
      <c r="S26" s="674"/>
      <c r="T26" s="674"/>
      <c r="U26" s="674"/>
      <c r="V26" s="274" t="s">
        <v>166</v>
      </c>
      <c r="W26" s="274">
        <v>5000</v>
      </c>
      <c r="X26" s="274">
        <v>48320</v>
      </c>
      <c r="Y26" s="276">
        <f>[5]Bevételek!G183</f>
        <v>105000</v>
      </c>
      <c r="Z26" s="277">
        <v>0</v>
      </c>
      <c r="AA26" s="274">
        <v>105000</v>
      </c>
      <c r="AB26" s="274">
        <v>0</v>
      </c>
      <c r="AC26" s="274">
        <f>'[1]Bevételek 1m'!L182</f>
        <v>105000</v>
      </c>
      <c r="AD26" s="245">
        <f>'[1]Bevételek 1m'!M182</f>
        <v>0</v>
      </c>
      <c r="AE26" s="274">
        <v>105000</v>
      </c>
      <c r="AF26" s="274">
        <f>'[1]Bevételek 1m'!O182</f>
        <v>195260</v>
      </c>
      <c r="AG26" s="354">
        <f>'[1]Bevételek 1m'!R182</f>
        <v>366800</v>
      </c>
      <c r="AH26" s="274">
        <f>'[1]Bevételek 1m'!S182</f>
        <v>157407</v>
      </c>
      <c r="AI26" s="274">
        <f>'[1]Bevételek 1m'!T182</f>
        <v>272390</v>
      </c>
      <c r="AJ26" s="274">
        <f>'[1]Bevételek 1m'!U182</f>
        <v>323</v>
      </c>
      <c r="AK26" s="274">
        <f>'[1]Bevételek 1m'!V182</f>
        <v>272713</v>
      </c>
      <c r="AL26" s="674">
        <f>'[1]Bevételek 1m'!W182</f>
        <v>0</v>
      </c>
      <c r="AM26" s="674">
        <f t="shared" si="16"/>
        <v>272713</v>
      </c>
      <c r="AN26" s="674">
        <f>'[1]Bevételek 1m'!Y182</f>
        <v>0</v>
      </c>
      <c r="AO26" s="674">
        <f t="shared" si="17"/>
        <v>272713</v>
      </c>
    </row>
    <row r="27" spans="1:44">
      <c r="A27" s="246">
        <v>20</v>
      </c>
      <c r="B27" s="281" t="s">
        <v>167</v>
      </c>
      <c r="C27" s="282">
        <f>SUM(C20:C26)</f>
        <v>4348414</v>
      </c>
      <c r="D27" s="282">
        <f>SUM(D20:D26)</f>
        <v>6483291</v>
      </c>
      <c r="E27" s="282">
        <f>E20+E21+E22</f>
        <v>3980355</v>
      </c>
      <c r="F27" s="282">
        <f>F20+F21+F22</f>
        <v>-434457</v>
      </c>
      <c r="G27" s="282">
        <f>G20+G21+G22</f>
        <v>3545898</v>
      </c>
      <c r="H27" s="282">
        <f>H20+H21+H22</f>
        <v>-35914</v>
      </c>
      <c r="I27" s="282">
        <f>I20+I21+I22</f>
        <v>3509984</v>
      </c>
      <c r="J27" s="282">
        <f>J20+J21</f>
        <v>222651</v>
      </c>
      <c r="K27" s="282">
        <f>K20+K21+K22</f>
        <v>3732635</v>
      </c>
      <c r="L27" s="282">
        <f>L20+L21+L22</f>
        <v>1576837</v>
      </c>
      <c r="M27" s="356">
        <f t="shared" ref="M27:S27" si="19">SUM(M20:M22)</f>
        <v>5136745</v>
      </c>
      <c r="N27" s="589">
        <f t="shared" si="19"/>
        <v>3490943</v>
      </c>
      <c r="O27" s="589">
        <f t="shared" si="19"/>
        <v>907898</v>
      </c>
      <c r="P27" s="589">
        <f t="shared" si="19"/>
        <v>277171</v>
      </c>
      <c r="Q27" s="589">
        <f t="shared" si="19"/>
        <v>1185069</v>
      </c>
      <c r="R27" s="675">
        <f>SUM(R20:R22)</f>
        <v>9030</v>
      </c>
      <c r="S27" s="675">
        <f t="shared" si="19"/>
        <v>1194099</v>
      </c>
      <c r="T27" s="675">
        <f>SUM(T20:T22)</f>
        <v>163460</v>
      </c>
      <c r="U27" s="675">
        <f t="shared" ref="U27" si="20">SUM(U20:U22)</f>
        <v>1357559</v>
      </c>
      <c r="V27" s="282" t="s">
        <v>168</v>
      </c>
      <c r="W27" s="282" t="e">
        <f>#REF!+#REF!+#REF!+W22+#REF!+W26</f>
        <v>#REF!</v>
      </c>
      <c r="X27" s="282">
        <f>SUM(X20:X26)</f>
        <v>2065997</v>
      </c>
      <c r="Y27" s="283" t="e">
        <f>#REF!+#REF!+#REF!+Y22+#REF!+Y26</f>
        <v>#REF!</v>
      </c>
      <c r="Z27" s="284">
        <f>Z21</f>
        <v>4000</v>
      </c>
      <c r="AA27" s="282" t="e">
        <f>#REF!+#REF!+#REF!+AA22+#REF!+AA26+AA21</f>
        <v>#REF!</v>
      </c>
      <c r="AB27" s="282">
        <v>0</v>
      </c>
      <c r="AC27" s="282">
        <f>SUM(AC21:AC26)</f>
        <v>109000</v>
      </c>
      <c r="AD27" s="282">
        <f>SUM(AD20:AD26)</f>
        <v>150000</v>
      </c>
      <c r="AE27" s="282">
        <f>SUM(AE21:AE26)</f>
        <v>259000</v>
      </c>
      <c r="AF27" s="282">
        <f>SUM(AF21:AF26)</f>
        <v>255259</v>
      </c>
      <c r="AG27" s="356">
        <f>SUM(AG21:AG26)</f>
        <v>3509130</v>
      </c>
      <c r="AH27" s="589">
        <f>SUM(AH21:AH26)</f>
        <v>2760939</v>
      </c>
      <c r="AI27" s="589">
        <f>SUM(AI21:AI26)</f>
        <v>1052972</v>
      </c>
      <c r="AJ27" s="589">
        <f t="shared" ref="AJ27:AO27" si="21">SUM(AJ21:AJ26)</f>
        <v>274116</v>
      </c>
      <c r="AK27" s="589">
        <f t="shared" si="21"/>
        <v>1327088</v>
      </c>
      <c r="AL27" s="675">
        <f t="shared" si="21"/>
        <v>3111</v>
      </c>
      <c r="AM27" s="675">
        <f t="shared" si="21"/>
        <v>1330199</v>
      </c>
      <c r="AN27" s="675">
        <f t="shared" si="21"/>
        <v>163460</v>
      </c>
      <c r="AO27" s="675">
        <f t="shared" si="21"/>
        <v>1493659</v>
      </c>
    </row>
    <row r="28" spans="1:44">
      <c r="A28" s="246">
        <v>21</v>
      </c>
      <c r="B28" s="245" t="s">
        <v>169</v>
      </c>
      <c r="C28" s="274"/>
      <c r="D28" s="274">
        <v>395613</v>
      </c>
      <c r="E28" s="274">
        <v>0</v>
      </c>
      <c r="F28" s="274">
        <v>0</v>
      </c>
      <c r="G28" s="274"/>
      <c r="H28" s="274"/>
      <c r="I28" s="274"/>
      <c r="J28" s="274">
        <v>0</v>
      </c>
      <c r="K28" s="274">
        <v>0</v>
      </c>
      <c r="L28" s="274">
        <v>0</v>
      </c>
      <c r="M28" s="354">
        <v>0</v>
      </c>
      <c r="N28" s="274">
        <v>0</v>
      </c>
      <c r="O28" s="274">
        <v>0</v>
      </c>
      <c r="P28" s="274">
        <v>0</v>
      </c>
      <c r="Q28" s="274">
        <v>0</v>
      </c>
      <c r="R28" s="674">
        <v>0</v>
      </c>
      <c r="S28" s="674">
        <f t="shared" ref="S28:S29" si="22">SUM(Q28:R28)</f>
        <v>0</v>
      </c>
      <c r="T28" s="674">
        <v>0</v>
      </c>
      <c r="U28" s="674">
        <f t="shared" ref="U28:U29" si="23">SUM(S28:T28)</f>
        <v>0</v>
      </c>
      <c r="V28" s="274" t="s">
        <v>170</v>
      </c>
      <c r="W28" s="274">
        <v>1500000</v>
      </c>
      <c r="X28" s="274">
        <v>1895613</v>
      </c>
      <c r="Y28" s="276">
        <v>395613</v>
      </c>
      <c r="Z28" s="277">
        <v>0</v>
      </c>
      <c r="AA28" s="274">
        <v>395613</v>
      </c>
      <c r="AB28" s="274">
        <v>0</v>
      </c>
      <c r="AC28" s="274">
        <v>395613</v>
      </c>
      <c r="AD28" s="245">
        <f>'[1]Bevételek 1m'!M188</f>
        <v>0</v>
      </c>
      <c r="AE28" s="274">
        <f>'[1]Bevételek 1m'!N188</f>
        <v>395613</v>
      </c>
      <c r="AF28" s="245">
        <v>0</v>
      </c>
      <c r="AG28" s="354"/>
      <c r="AH28" s="274"/>
      <c r="AI28" s="274"/>
      <c r="AJ28" s="274"/>
      <c r="AK28" s="274"/>
      <c r="AL28" s="674"/>
      <c r="AM28" s="674"/>
      <c r="AN28" s="674"/>
      <c r="AO28" s="674"/>
    </row>
    <row r="29" spans="1:44">
      <c r="A29" s="246">
        <v>22</v>
      </c>
      <c r="B29" s="245" t="s">
        <v>171</v>
      </c>
      <c r="C29" s="274"/>
      <c r="D29" s="274"/>
      <c r="E29" s="274"/>
      <c r="F29" s="274">
        <v>20668</v>
      </c>
      <c r="G29" s="274">
        <v>20668</v>
      </c>
      <c r="H29" s="274">
        <v>0</v>
      </c>
      <c r="I29" s="274">
        <v>20668</v>
      </c>
      <c r="J29" s="274">
        <v>-20668</v>
      </c>
      <c r="K29" s="274">
        <v>0</v>
      </c>
      <c r="L29" s="274">
        <v>0</v>
      </c>
      <c r="M29" s="354">
        <f>'[1]Kiadások 2m'!Q161</f>
        <v>1834121</v>
      </c>
      <c r="N29" s="274">
        <f>'[1]Kiadások 2m'!R161</f>
        <v>2145734</v>
      </c>
      <c r="O29" s="274">
        <f>'[1]Kiadások 2m'!S161</f>
        <v>2434754</v>
      </c>
      <c r="P29" s="274">
        <f>'[1]Kiadások 2m'!T161</f>
        <v>-9150</v>
      </c>
      <c r="Q29" s="274">
        <f>'[1]Kiadások 2m'!U161</f>
        <v>2425604</v>
      </c>
      <c r="R29" s="674">
        <f>'[3]Kiadások 2m'!V162</f>
        <v>49094</v>
      </c>
      <c r="S29" s="674">
        <f t="shared" si="22"/>
        <v>2474698</v>
      </c>
      <c r="T29" s="674">
        <f>'[6]Kiadások 2m.'!X162</f>
        <v>21337</v>
      </c>
      <c r="U29" s="674">
        <f t="shared" si="23"/>
        <v>2496035</v>
      </c>
      <c r="V29" s="278" t="s">
        <v>172</v>
      </c>
      <c r="W29" s="286">
        <v>3171561</v>
      </c>
      <c r="X29" s="274">
        <v>1131046</v>
      </c>
      <c r="Y29" s="276">
        <f>[5]Bevételek!G186</f>
        <v>3761803</v>
      </c>
      <c r="Z29" s="277">
        <v>597360</v>
      </c>
      <c r="AA29" s="274">
        <v>4359163</v>
      </c>
      <c r="AB29" s="274">
        <v>0</v>
      </c>
      <c r="AC29" s="274">
        <v>4359163</v>
      </c>
      <c r="AD29" s="245">
        <f>'[1]Bevételek 1m'!M185</f>
        <v>0</v>
      </c>
      <c r="AE29" s="274">
        <f>'[1]Bevételek 1m'!N185</f>
        <v>4359163</v>
      </c>
      <c r="AF29" s="274">
        <f>'[1]Bevételek 1m'!O185</f>
        <v>1882279</v>
      </c>
      <c r="AG29" s="354">
        <v>1627615</v>
      </c>
      <c r="AH29" s="274">
        <v>730004</v>
      </c>
      <c r="AI29" s="274">
        <v>-145074</v>
      </c>
      <c r="AJ29" s="274">
        <v>5431</v>
      </c>
      <c r="AK29" s="274">
        <f>SUM(AI29:AJ29)</f>
        <v>-139643</v>
      </c>
      <c r="AL29" s="674">
        <v>0</v>
      </c>
      <c r="AM29" s="674">
        <f t="shared" ref="AM29:AM30" si="24">SUM(AK29:AL29)</f>
        <v>-139643</v>
      </c>
      <c r="AN29" s="674">
        <v>0</v>
      </c>
      <c r="AO29" s="674">
        <f t="shared" ref="AO29:AO30" si="25">SUM(AM29:AN29)</f>
        <v>-139643</v>
      </c>
    </row>
    <row r="30" spans="1:44">
      <c r="A30" s="246">
        <v>23</v>
      </c>
      <c r="B30" s="245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354"/>
      <c r="N30" s="274"/>
      <c r="O30" s="274"/>
      <c r="P30" s="274"/>
      <c r="Q30" s="274"/>
      <c r="R30" s="674"/>
      <c r="S30" s="674"/>
      <c r="T30" s="674"/>
      <c r="U30" s="674"/>
      <c r="V30" s="278" t="s">
        <v>608</v>
      </c>
      <c r="W30" s="286"/>
      <c r="X30" s="274"/>
      <c r="Y30" s="276"/>
      <c r="Z30" s="277">
        <v>17582</v>
      </c>
      <c r="AA30" s="274">
        <v>17582</v>
      </c>
      <c r="AB30" s="274">
        <v>0</v>
      </c>
      <c r="AC30" s="274">
        <v>17582</v>
      </c>
      <c r="AD30" s="274">
        <v>-17582</v>
      </c>
      <c r="AE30" s="245">
        <v>0</v>
      </c>
      <c r="AF30" s="245">
        <v>0</v>
      </c>
      <c r="AG30" s="354"/>
      <c r="AH30" s="274">
        <v>0</v>
      </c>
      <c r="AI30" s="274">
        <v>0</v>
      </c>
      <c r="AJ30" s="274">
        <f>SUM('[1]Bevételek 1m'!U186)</f>
        <v>3624</v>
      </c>
      <c r="AK30" s="274">
        <f>SUM(AI30:AJ30)</f>
        <v>3624</v>
      </c>
      <c r="AL30" s="674">
        <f>SUM('[1]Bevételek 1m'!W186)</f>
        <v>0</v>
      </c>
      <c r="AM30" s="674">
        <f t="shared" si="24"/>
        <v>3624</v>
      </c>
      <c r="AN30" s="674">
        <f>SUM('[1]Bevételek 1m'!Y186)</f>
        <v>0</v>
      </c>
      <c r="AO30" s="674">
        <f t="shared" si="25"/>
        <v>3624</v>
      </c>
      <c r="AQ30" s="285">
        <f>N31-AH31</f>
        <v>0</v>
      </c>
    </row>
    <row r="31" spans="1:44">
      <c r="A31" s="246">
        <v>24</v>
      </c>
      <c r="B31" s="281" t="s">
        <v>634</v>
      </c>
      <c r="C31" s="282">
        <f>C27</f>
        <v>4348414</v>
      </c>
      <c r="D31" s="282">
        <f>D27+D28</f>
        <v>6878904</v>
      </c>
      <c r="E31" s="282">
        <f>E27</f>
        <v>3980355</v>
      </c>
      <c r="F31" s="282">
        <f>F27</f>
        <v>-434457</v>
      </c>
      <c r="G31" s="282">
        <f>G27</f>
        <v>3545898</v>
      </c>
      <c r="H31" s="282">
        <f>H27</f>
        <v>-35914</v>
      </c>
      <c r="I31" s="282">
        <f>G31+H31</f>
        <v>3509984</v>
      </c>
      <c r="J31" s="282">
        <f>J27</f>
        <v>222651</v>
      </c>
      <c r="K31" s="282">
        <f>K27</f>
        <v>3732635</v>
      </c>
      <c r="L31" s="282">
        <f>L27</f>
        <v>1576837</v>
      </c>
      <c r="M31" s="356">
        <f t="shared" ref="M31:P31" si="26">SUM(M27)</f>
        <v>5136745</v>
      </c>
      <c r="N31" s="589">
        <f t="shared" si="26"/>
        <v>3490943</v>
      </c>
      <c r="O31" s="589">
        <f t="shared" si="26"/>
        <v>907898</v>
      </c>
      <c r="P31" s="589">
        <f t="shared" si="26"/>
        <v>277171</v>
      </c>
      <c r="Q31" s="589">
        <f>SUM(Q27)</f>
        <v>1185069</v>
      </c>
      <c r="R31" s="589">
        <f>SUM(R28:R30)</f>
        <v>49094</v>
      </c>
      <c r="S31" s="675">
        <f>SUM(S27)</f>
        <v>1194099</v>
      </c>
      <c r="T31" s="675">
        <f>SUM(T27)</f>
        <v>163460</v>
      </c>
      <c r="U31" s="675">
        <f>SUM(U27)</f>
        <v>1357559</v>
      </c>
      <c r="V31" s="282" t="s">
        <v>635</v>
      </c>
      <c r="W31" s="282" t="e">
        <f>SUM(W27:W30)</f>
        <v>#REF!</v>
      </c>
      <c r="X31" s="282">
        <f>SUM(X27:X30)</f>
        <v>5092656</v>
      </c>
      <c r="Y31" s="283" t="e">
        <f>SUM(Y27:Y30)</f>
        <v>#REF!</v>
      </c>
      <c r="Z31" s="284">
        <f>Z27+Z29</f>
        <v>601360</v>
      </c>
      <c r="AA31" s="282" t="e">
        <f>AA27+AA29</f>
        <v>#REF!</v>
      </c>
      <c r="AB31" s="282">
        <f t="shared" ref="AB31:AC31" si="27">AB27+AB29</f>
        <v>0</v>
      </c>
      <c r="AC31" s="282">
        <f t="shared" si="27"/>
        <v>4468163</v>
      </c>
      <c r="AD31" s="282">
        <v>150000</v>
      </c>
      <c r="AE31" s="282">
        <f>AE27+AE29</f>
        <v>4618163</v>
      </c>
      <c r="AF31" s="282">
        <f>AF27+AF29</f>
        <v>2137538</v>
      </c>
      <c r="AG31" s="356">
        <f>SUM(AG29,AG27)</f>
        <v>5136745</v>
      </c>
      <c r="AH31" s="589">
        <f>SUM(AH29,AH27)</f>
        <v>3490943</v>
      </c>
      <c r="AI31" s="589">
        <f>SUM(AI29,AI27)+AI30</f>
        <v>907898</v>
      </c>
      <c r="AJ31" s="589">
        <f t="shared" ref="AJ31:AK31" si="28">SUM(AJ29,AJ27)+AJ30</f>
        <v>283171</v>
      </c>
      <c r="AK31" s="589">
        <f t="shared" si="28"/>
        <v>1191069</v>
      </c>
      <c r="AL31" s="675">
        <f>SUM(AL29,AL27)+AL30</f>
        <v>3111</v>
      </c>
      <c r="AM31" s="675">
        <f t="shared" ref="AM31:AO31" si="29">SUM(AM29,AM27)+AM30</f>
        <v>1194180</v>
      </c>
      <c r="AN31" s="675">
        <f>SUM(AN29,AN27)+AN30</f>
        <v>163460</v>
      </c>
      <c r="AO31" s="675">
        <f t="shared" si="29"/>
        <v>1357640</v>
      </c>
    </row>
    <row r="32" spans="1:44">
      <c r="A32" s="246">
        <v>25</v>
      </c>
      <c r="B32" s="281" t="s">
        <v>173</v>
      </c>
      <c r="C32" s="282">
        <f>C17+C27</f>
        <v>7676322</v>
      </c>
      <c r="D32" s="282">
        <f>D17+D27+D28</f>
        <v>12344013</v>
      </c>
      <c r="E32" s="282">
        <f>E17+E27</f>
        <v>7275559</v>
      </c>
      <c r="F32" s="282">
        <f>F17+F27+F29</f>
        <v>811135</v>
      </c>
      <c r="G32" s="282">
        <f>G17+G27+G29</f>
        <v>8086694</v>
      </c>
      <c r="H32" s="282">
        <f>H17+H27+H29</f>
        <v>210060</v>
      </c>
      <c r="I32" s="282">
        <f>I17+I27+I29</f>
        <v>8296754</v>
      </c>
      <c r="J32" s="282">
        <f>J17+J27+J29</f>
        <v>220434</v>
      </c>
      <c r="K32" s="282">
        <f>K19+K31</f>
        <v>8517188</v>
      </c>
      <c r="L32" s="282">
        <f>L19+L31</f>
        <v>5497662</v>
      </c>
      <c r="M32" s="356">
        <f>SUM(M19,M31)</f>
        <v>12106839</v>
      </c>
      <c r="N32" s="589">
        <f>SUM(N19,N31)</f>
        <v>9741730</v>
      </c>
      <c r="O32" s="589">
        <f>SUM(O19,O31)</f>
        <v>7472143</v>
      </c>
      <c r="P32" s="589">
        <f>SUM(P19,P31)+P29+9150</f>
        <v>556414</v>
      </c>
      <c r="Q32" s="589">
        <f>SUM(Q19,Q31)</f>
        <v>8028557</v>
      </c>
      <c r="R32" s="675">
        <f>R19+R27</f>
        <v>67816</v>
      </c>
      <c r="S32" s="675">
        <f>SUM(S19,S31)</f>
        <v>8096373</v>
      </c>
      <c r="T32" s="675">
        <f>T19+T27</f>
        <v>403535</v>
      </c>
      <c r="U32" s="675">
        <f>SUM(U19,U31)</f>
        <v>8499908</v>
      </c>
      <c r="V32" s="281" t="s">
        <v>173</v>
      </c>
      <c r="W32" s="288" t="e">
        <f>W19+W31</f>
        <v>#REF!</v>
      </c>
      <c r="X32" s="288">
        <f>X31+X19</f>
        <v>10557765</v>
      </c>
      <c r="Y32" s="289" t="e">
        <f>Y19+Y31</f>
        <v>#REF!</v>
      </c>
      <c r="Z32" s="290">
        <f>Z19+Z30+Z31</f>
        <v>811135</v>
      </c>
      <c r="AA32" s="288" t="e">
        <f>AA19+AA30+AA31+AA28</f>
        <v>#REF!</v>
      </c>
      <c r="AB32" s="288">
        <f>AB19+AB30+AB31+AB28</f>
        <v>210060</v>
      </c>
      <c r="AC32" s="288">
        <f>AC19+AC30+AC31+AC28</f>
        <v>6641754</v>
      </c>
      <c r="AD32" s="282">
        <f>AD19+AD30+AD31</f>
        <v>220434</v>
      </c>
      <c r="AE32" s="282">
        <f>AE19+AE30+AE31+AE28</f>
        <v>6862188</v>
      </c>
      <c r="AF32" s="282">
        <f>AF19+AF31</f>
        <v>5497662</v>
      </c>
      <c r="AG32" s="356">
        <f>SUM(AG19,AG31)</f>
        <v>12106839</v>
      </c>
      <c r="AH32" s="589">
        <f>SUM(AH19,AH31)</f>
        <v>9741730</v>
      </c>
      <c r="AI32" s="589">
        <f>SUM(AI19,AI31)</f>
        <v>7472143</v>
      </c>
      <c r="AJ32" s="589">
        <f>SUM(AJ19,AJ31)</f>
        <v>556414</v>
      </c>
      <c r="AK32" s="589">
        <f t="shared" ref="AK32:AM32" si="30">SUM(AK19,AK31)</f>
        <v>8028557</v>
      </c>
      <c r="AL32" s="675">
        <f>SUM(AL19,AL31)</f>
        <v>67816</v>
      </c>
      <c r="AM32" s="675">
        <f t="shared" si="30"/>
        <v>8096373</v>
      </c>
      <c r="AN32" s="675">
        <f>SUM(AN19,AN31)</f>
        <v>403535</v>
      </c>
      <c r="AO32" s="675">
        <f t="shared" ref="AO32" si="31">SUM(AO19,AO31)</f>
        <v>8499908</v>
      </c>
    </row>
    <row r="33" spans="1:41" customFormat="1" ht="15">
      <c r="A33" s="923" t="s">
        <v>675</v>
      </c>
      <c r="B33" s="923"/>
      <c r="C33" s="923"/>
      <c r="D33" s="923"/>
      <c r="E33" s="923"/>
      <c r="F33" s="923"/>
      <c r="G33" s="923"/>
      <c r="H33" s="923"/>
      <c r="I33" s="923"/>
      <c r="J33" s="923"/>
      <c r="K33" s="923"/>
      <c r="L33" s="923"/>
      <c r="M33" s="923"/>
      <c r="N33" s="923"/>
      <c r="O33" s="923"/>
      <c r="P33" s="923"/>
      <c r="Q33" s="923"/>
      <c r="R33" s="923"/>
      <c r="S33" s="923"/>
      <c r="T33" s="923"/>
      <c r="U33" s="923"/>
      <c r="V33" s="923"/>
      <c r="W33" s="923"/>
      <c r="X33" s="923"/>
      <c r="Y33" s="923"/>
      <c r="Z33" s="923"/>
      <c r="AA33" s="923"/>
      <c r="AB33" s="923"/>
      <c r="AC33" s="923"/>
      <c r="AD33" s="923"/>
      <c r="AE33" s="923"/>
      <c r="AF33" s="923"/>
      <c r="AG33" s="923"/>
      <c r="AH33" s="923"/>
      <c r="AI33" s="923"/>
      <c r="AJ33" s="923"/>
      <c r="AK33" s="923"/>
      <c r="AL33" s="923"/>
      <c r="AM33" s="923"/>
      <c r="AN33" s="923"/>
      <c r="AO33" s="923"/>
    </row>
    <row r="34" spans="1:41" ht="17.25">
      <c r="B34" s="899"/>
      <c r="C34" s="899"/>
      <c r="D34" s="899"/>
      <c r="E34" s="899"/>
      <c r="F34" s="899"/>
      <c r="G34" s="899"/>
      <c r="H34" s="899"/>
      <c r="I34" s="899"/>
      <c r="J34" s="899"/>
      <c r="K34" s="899"/>
      <c r="L34" s="899"/>
      <c r="M34" s="899"/>
      <c r="N34" s="899"/>
      <c r="O34" s="899"/>
      <c r="P34" s="899"/>
      <c r="Q34" s="899"/>
      <c r="R34" s="899"/>
      <c r="S34" s="899"/>
      <c r="T34" s="899"/>
      <c r="U34" s="899"/>
      <c r="V34" s="899"/>
      <c r="W34" s="899"/>
      <c r="X34" s="899"/>
      <c r="Y34" s="291"/>
      <c r="Z34" s="291"/>
      <c r="AA34" s="292"/>
      <c r="AB34" s="292"/>
      <c r="AC34" s="292"/>
    </row>
    <row r="35" spans="1:41">
      <c r="L35" s="242" t="s">
        <v>420</v>
      </c>
      <c r="M35" s="357">
        <f>M32-'[1]Kiadások 2m'!Q163</f>
        <v>0</v>
      </c>
      <c r="N35" s="285">
        <f>N32-'[1]Kiadások 2m'!R163</f>
        <v>0</v>
      </c>
      <c r="O35" s="285">
        <f>O32-'[1]Kiadások 2m'!S163</f>
        <v>0</v>
      </c>
      <c r="P35" s="285">
        <f>P32-'[1]Kiadások 2m'!T163</f>
        <v>0</v>
      </c>
      <c r="Q35" s="285">
        <f>Q32-'[1]Kiadások 2m'!U163</f>
        <v>0</v>
      </c>
      <c r="R35" s="676">
        <f>R32-'[3]Kiadások 2m'!V164</f>
        <v>0</v>
      </c>
      <c r="S35" s="676">
        <f>S32-'[3]Kiadások 2m'!W164</f>
        <v>0</v>
      </c>
      <c r="T35" s="676">
        <f>T32-'[3]Kiadások 2m'!X164</f>
        <v>403535</v>
      </c>
      <c r="U35" s="676">
        <f>U32-'[3]Kiadások 2m'!Y164</f>
        <v>8499908</v>
      </c>
      <c r="AC35" s="285"/>
      <c r="AF35" s="242" t="s">
        <v>420</v>
      </c>
      <c r="AG35" s="357">
        <f>'[1]Mérleg 9m '!AC33-'[1]Bevételek 1m'!R190</f>
        <v>0</v>
      </c>
      <c r="AH35" s="285">
        <f>'[1]Mérleg 9m '!AD33-'[1]Bevételek 1m'!S190</f>
        <v>0</v>
      </c>
      <c r="AI35" s="285">
        <f>'[1]Mérleg 9m '!AE33-'[1]Bevételek 1m'!T190</f>
        <v>0</v>
      </c>
      <c r="AJ35" s="285">
        <f>'[1]Mérleg 9m '!AF33-'[1]Bevételek 1m'!U190</f>
        <v>0</v>
      </c>
      <c r="AK35" s="285">
        <f>'[1]Mérleg 9m '!AG33-'[1]Bevételek 1m'!V190</f>
        <v>0</v>
      </c>
      <c r="AL35" s="676">
        <f>'[1]Mérleg 9m '!AH33-'[1]Bevételek 1m'!W190</f>
        <v>0</v>
      </c>
      <c r="AM35" s="676">
        <f>'[1]Mérleg 9m '!AI33-'[1]Bevételek 1m'!X190</f>
        <v>0</v>
      </c>
      <c r="AN35" s="676">
        <f>'[1]Mérleg 9m '!AJ33-'[1]Bevételek 1m'!Y190</f>
        <v>0</v>
      </c>
      <c r="AO35" s="676">
        <f>'[1]Mérleg 9m '!AK33-'[1]Bevételek 1m'!Z190</f>
        <v>0</v>
      </c>
    </row>
    <row r="36" spans="1:41">
      <c r="E36" s="285"/>
      <c r="F36" s="285"/>
      <c r="G36" s="285"/>
      <c r="H36" s="285"/>
      <c r="I36" s="285"/>
      <c r="J36" s="285"/>
      <c r="K36" s="285"/>
      <c r="L36" s="285"/>
      <c r="M36" s="357"/>
      <c r="N36" s="285"/>
      <c r="O36" s="285"/>
      <c r="P36" s="285"/>
      <c r="Q36" s="285"/>
      <c r="R36" s="676"/>
      <c r="S36" s="676"/>
      <c r="T36" s="676"/>
      <c r="U36" s="676"/>
      <c r="W36" s="285"/>
    </row>
  </sheetData>
  <mergeCells count="48">
    <mergeCell ref="AK6:AK8"/>
    <mergeCell ref="AL6:AL8"/>
    <mergeCell ref="AM6:AM8"/>
    <mergeCell ref="AN6:AN8"/>
    <mergeCell ref="AO6:AO8"/>
    <mergeCell ref="B34:X34"/>
    <mergeCell ref="A33:AO33"/>
    <mergeCell ref="AE6:AE8"/>
    <mergeCell ref="AF6:AF8"/>
    <mergeCell ref="AG6:AG8"/>
    <mergeCell ref="AH6:AH8"/>
    <mergeCell ref="AI6:AI8"/>
    <mergeCell ref="AJ6:AJ8"/>
    <mergeCell ref="Y6:Y8"/>
    <mergeCell ref="Z6:Z8"/>
    <mergeCell ref="AA6:AA8"/>
    <mergeCell ref="AB6:AB8"/>
    <mergeCell ref="AC6:AC8"/>
    <mergeCell ref="AD6:AD8"/>
    <mergeCell ref="S6:S8"/>
    <mergeCell ref="T6:T8"/>
    <mergeCell ref="U6:U8"/>
    <mergeCell ref="V6:V8"/>
    <mergeCell ref="W6:W8"/>
    <mergeCell ref="X6:X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A6:A8"/>
    <mergeCell ref="B6:B8"/>
    <mergeCell ref="C6:C8"/>
    <mergeCell ref="D6:D8"/>
    <mergeCell ref="E6:E8"/>
    <mergeCell ref="F6:F8"/>
    <mergeCell ref="A1:AO1"/>
    <mergeCell ref="A2:AM2"/>
    <mergeCell ref="AJ4:AK4"/>
    <mergeCell ref="AL4:AM4"/>
    <mergeCell ref="AN4:AO4"/>
  </mergeCells>
  <pageMargins left="0.7" right="0.7" top="0.75" bottom="0.75" header="0.3" footer="0.3"/>
  <pageSetup paperSize="9" scale="29" orientation="portrait" r:id="rId1"/>
  <colBreaks count="1" manualBreakCount="1">
    <brk id="4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T14"/>
  <sheetViews>
    <sheetView view="pageBreakPreview" zoomScaleNormal="100" zoomScaleSheetLayoutView="100" workbookViewId="0">
      <selection activeCell="L21" sqref="L21"/>
    </sheetView>
  </sheetViews>
  <sheetFormatPr defaultColWidth="8.5703125" defaultRowHeight="15"/>
  <cols>
    <col min="1" max="1" width="8.5703125" style="293"/>
    <col min="2" max="2" width="9.85546875" style="293" customWidth="1"/>
    <col min="3" max="3" width="11" style="293" customWidth="1"/>
    <col min="4" max="5" width="41.85546875" style="293" customWidth="1"/>
    <col min="6" max="16384" width="8.5703125" style="293"/>
  </cols>
  <sheetData>
    <row r="1" spans="1:20" ht="44.25" customHeight="1">
      <c r="A1" s="905" t="s">
        <v>579</v>
      </c>
      <c r="B1" s="905"/>
      <c r="C1" s="905"/>
      <c r="D1" s="905"/>
    </row>
    <row r="2" spans="1:20">
      <c r="A2" s="242"/>
      <c r="B2" s="242"/>
      <c r="C2" s="242"/>
      <c r="D2" s="244"/>
    </row>
    <row r="3" spans="1:20">
      <c r="A3" s="242"/>
      <c r="B3" s="242"/>
      <c r="C3" s="242"/>
      <c r="D3" s="242"/>
    </row>
    <row r="4" spans="1:20">
      <c r="A4" s="242"/>
      <c r="B4" s="242"/>
      <c r="C4" s="242"/>
      <c r="D4" s="242"/>
      <c r="T4" s="618"/>
    </row>
    <row r="5" spans="1:20">
      <c r="A5" s="906" t="s">
        <v>400</v>
      </c>
      <c r="B5" s="906"/>
      <c r="C5" s="906"/>
      <c r="D5" s="906"/>
    </row>
    <row r="6" spans="1:20">
      <c r="A6" s="242"/>
      <c r="B6" s="242"/>
      <c r="C6" s="242"/>
      <c r="D6" s="242"/>
    </row>
    <row r="7" spans="1:20" ht="15.75">
      <c r="A7" s="294" t="s">
        <v>401</v>
      </c>
      <c r="B7" s="907" t="s">
        <v>402</v>
      </c>
      <c r="C7" s="907"/>
      <c r="D7" s="295" t="s">
        <v>403</v>
      </c>
    </row>
    <row r="8" spans="1:20" ht="15.75">
      <c r="A8" s="294" t="s">
        <v>72</v>
      </c>
      <c r="B8" s="295"/>
      <c r="C8" s="295"/>
      <c r="D8" s="295" t="s">
        <v>324</v>
      </c>
    </row>
    <row r="9" spans="1:20" ht="15.75">
      <c r="A9" s="296"/>
      <c r="B9" s="297" t="s">
        <v>404</v>
      </c>
      <c r="C9" s="298"/>
      <c r="D9" s="296" t="s">
        <v>324</v>
      </c>
    </row>
    <row r="10" spans="1:20" ht="15.75">
      <c r="A10" s="296"/>
      <c r="B10" s="294" t="s">
        <v>405</v>
      </c>
      <c r="C10" s="299"/>
      <c r="D10" s="300" t="s">
        <v>522</v>
      </c>
    </row>
    <row r="11" spans="1:20" ht="15.75">
      <c r="A11" s="296"/>
      <c r="B11" s="294" t="s">
        <v>406</v>
      </c>
      <c r="C11" s="299"/>
      <c r="D11" s="300" t="s">
        <v>68</v>
      </c>
    </row>
    <row r="12" spans="1:20" ht="15.75">
      <c r="A12" s="296"/>
      <c r="B12" s="294" t="s">
        <v>407</v>
      </c>
      <c r="C12" s="299"/>
      <c r="D12" s="300" t="s">
        <v>69</v>
      </c>
    </row>
    <row r="13" spans="1:20" ht="15.75">
      <c r="A13" s="296"/>
      <c r="B13" s="294" t="s">
        <v>408</v>
      </c>
      <c r="C13" s="299"/>
      <c r="D13" s="300" t="s">
        <v>409</v>
      </c>
    </row>
    <row r="14" spans="1:20">
      <c r="A14" s="301"/>
      <c r="B14" s="301"/>
      <c r="C14" s="301"/>
      <c r="D14" s="301"/>
    </row>
  </sheetData>
  <mergeCells count="3">
    <mergeCell ref="A1:D1"/>
    <mergeCell ref="A5:D5"/>
    <mergeCell ref="B7:C7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orientation="portrait" r:id="rId1"/>
  <headerFooter>
    <oddFooter>&amp;P. oldal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CC0D-8976-4284-A3AC-66468B8A3426}">
  <dimension ref="A1:Y165"/>
  <sheetViews>
    <sheetView view="pageBreakPreview" topLeftCell="A138" zoomScale="60" zoomScaleNormal="100" workbookViewId="0">
      <selection activeCell="A164" sqref="A164:Y165"/>
    </sheetView>
  </sheetViews>
  <sheetFormatPr defaultColWidth="8.85546875" defaultRowHeight="15"/>
  <cols>
    <col min="2" max="3" width="5.42578125" customWidth="1"/>
    <col min="4" max="4" width="77.42578125" customWidth="1"/>
    <col min="5" max="6" width="15.140625" hidden="1" customWidth="1"/>
    <col min="7" max="7" width="14.42578125" hidden="1" customWidth="1"/>
    <col min="8" max="8" width="15.140625" hidden="1" customWidth="1"/>
    <col min="9" max="9" width="15.42578125" hidden="1" customWidth="1"/>
    <col min="10" max="10" width="13.85546875" hidden="1" customWidth="1"/>
    <col min="11" max="11" width="15.42578125" hidden="1" customWidth="1"/>
    <col min="12" max="12" width="13.42578125" hidden="1" customWidth="1"/>
    <col min="13" max="13" width="14.42578125" hidden="1" customWidth="1"/>
    <col min="14" max="17" width="15.42578125" hidden="1" customWidth="1"/>
    <col min="18" max="19" width="15.42578125" customWidth="1"/>
    <col min="20" max="20" width="15.42578125" hidden="1" customWidth="1"/>
    <col min="21" max="21" width="15.42578125" customWidth="1"/>
    <col min="22" max="22" width="15.42578125" style="622" hidden="1" customWidth="1"/>
    <col min="23" max="25" width="15.42578125" style="622" customWidth="1"/>
  </cols>
  <sheetData>
    <row r="1" spans="1:25" s="633" customFormat="1">
      <c r="A1" s="679" t="s">
        <v>639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</row>
    <row r="2" spans="1:25" s="622" customFormat="1" ht="15.75">
      <c r="R2" s="560"/>
      <c r="S2" s="560"/>
      <c r="T2" s="560"/>
      <c r="U2" s="560"/>
      <c r="V2" s="560"/>
      <c r="W2" s="560"/>
      <c r="X2" s="560"/>
      <c r="Y2" s="560" t="s">
        <v>56</v>
      </c>
    </row>
    <row r="3" spans="1:25" s="622" customFormat="1">
      <c r="A3" s="569"/>
      <c r="B3" s="912" t="s">
        <v>414</v>
      </c>
      <c r="C3" s="912" t="s">
        <v>415</v>
      </c>
      <c r="D3" s="912" t="s">
        <v>416</v>
      </c>
      <c r="E3" s="912"/>
      <c r="F3" s="912"/>
      <c r="G3" s="912"/>
      <c r="H3" s="912"/>
      <c r="I3" s="912"/>
      <c r="J3" s="912"/>
      <c r="K3" s="912"/>
      <c r="L3" s="912"/>
      <c r="M3" s="912"/>
      <c r="N3" s="912" t="s">
        <v>417</v>
      </c>
      <c r="O3" s="913" t="s">
        <v>417</v>
      </c>
      <c r="P3" s="913" t="s">
        <v>417</v>
      </c>
      <c r="Q3" s="913" t="s">
        <v>417</v>
      </c>
      <c r="R3" s="913" t="s">
        <v>417</v>
      </c>
      <c r="S3" s="913" t="s">
        <v>418</v>
      </c>
      <c r="T3" s="913" t="s">
        <v>419</v>
      </c>
      <c r="U3" s="913" t="s">
        <v>419</v>
      </c>
      <c r="V3" s="913" t="s">
        <v>424</v>
      </c>
      <c r="W3" s="913" t="s">
        <v>424</v>
      </c>
      <c r="X3" s="913" t="s">
        <v>425</v>
      </c>
      <c r="Y3" s="913" t="s">
        <v>426</v>
      </c>
    </row>
    <row r="4" spans="1:25" ht="84.75" customHeight="1">
      <c r="A4" s="115">
        <v>1</v>
      </c>
      <c r="B4" s="682" t="s">
        <v>23</v>
      </c>
      <c r="C4" s="683"/>
      <c r="D4" s="684"/>
      <c r="E4" s="116" t="s">
        <v>107</v>
      </c>
      <c r="F4" s="116" t="s">
        <v>113</v>
      </c>
      <c r="G4" s="117" t="s">
        <v>114</v>
      </c>
      <c r="H4" s="118" t="s">
        <v>111</v>
      </c>
      <c r="I4" s="116" t="s">
        <v>116</v>
      </c>
      <c r="J4" s="116" t="s">
        <v>111</v>
      </c>
      <c r="K4" s="119" t="s">
        <v>256</v>
      </c>
      <c r="L4" s="116" t="s">
        <v>111</v>
      </c>
      <c r="M4" s="119" t="s">
        <v>260</v>
      </c>
      <c r="N4" s="6" t="s">
        <v>457</v>
      </c>
      <c r="O4" s="6" t="s">
        <v>460</v>
      </c>
      <c r="P4" s="6" t="s">
        <v>484</v>
      </c>
      <c r="Q4" s="6" t="s">
        <v>501</v>
      </c>
      <c r="R4" s="6" t="s">
        <v>542</v>
      </c>
      <c r="S4" s="562" t="str">
        <f ca="1">S$4</f>
        <v>Előirányzat
2/2025. (II.20.) önkormányzati rendelet</v>
      </c>
      <c r="T4" s="562" t="s">
        <v>111</v>
      </c>
      <c r="U4" s="562" t="s">
        <v>609</v>
      </c>
      <c r="V4" s="562" t="s">
        <v>111</v>
      </c>
      <c r="W4" s="562" t="s">
        <v>637</v>
      </c>
      <c r="X4" s="562" t="s">
        <v>111</v>
      </c>
      <c r="Y4" s="562" t="s">
        <v>582</v>
      </c>
    </row>
    <row r="5" spans="1:25">
      <c r="A5" s="115">
        <v>2</v>
      </c>
      <c r="B5" s="16" t="s">
        <v>0</v>
      </c>
      <c r="C5" s="3"/>
      <c r="D5" s="3"/>
      <c r="E5" s="3" t="s">
        <v>24</v>
      </c>
      <c r="F5" s="3" t="s">
        <v>24</v>
      </c>
      <c r="G5" s="26" t="s">
        <v>24</v>
      </c>
      <c r="H5" s="26" t="s">
        <v>24</v>
      </c>
      <c r="I5" s="26" t="s">
        <v>24</v>
      </c>
      <c r="J5" s="26" t="s">
        <v>24</v>
      </c>
      <c r="K5" s="26" t="s">
        <v>24</v>
      </c>
      <c r="L5" s="3" t="s">
        <v>24</v>
      </c>
      <c r="M5" s="26" t="s">
        <v>24</v>
      </c>
      <c r="N5" s="3" t="s">
        <v>399</v>
      </c>
      <c r="O5" s="3" t="s">
        <v>399</v>
      </c>
      <c r="P5" s="3" t="s">
        <v>399</v>
      </c>
      <c r="Q5" s="3" t="s">
        <v>399</v>
      </c>
      <c r="R5" s="3" t="s">
        <v>399</v>
      </c>
      <c r="S5" s="3" t="s">
        <v>399</v>
      </c>
      <c r="T5" s="3" t="s">
        <v>399</v>
      </c>
      <c r="U5" s="3" t="s">
        <v>399</v>
      </c>
      <c r="V5" s="569" t="s">
        <v>399</v>
      </c>
      <c r="W5" s="569" t="s">
        <v>399</v>
      </c>
      <c r="X5" s="569" t="s">
        <v>399</v>
      </c>
      <c r="Y5" s="569" t="s">
        <v>399</v>
      </c>
    </row>
    <row r="6" spans="1:25">
      <c r="A6" s="115">
        <v>3</v>
      </c>
      <c r="B6" s="16" t="s">
        <v>25</v>
      </c>
      <c r="C6" s="3"/>
      <c r="D6" s="3"/>
      <c r="E6" s="3"/>
      <c r="F6" s="3"/>
      <c r="G6" s="26"/>
      <c r="H6" s="3"/>
      <c r="I6" s="3"/>
      <c r="J6" s="3"/>
      <c r="K6" s="26"/>
      <c r="L6" s="3"/>
      <c r="M6" s="26"/>
      <c r="N6" s="3"/>
      <c r="O6" s="9"/>
      <c r="P6" s="9"/>
      <c r="Q6" s="9"/>
      <c r="R6" s="9"/>
      <c r="S6" s="9"/>
      <c r="T6" s="9"/>
      <c r="U6" s="9"/>
      <c r="V6" s="565"/>
      <c r="W6" s="565"/>
      <c r="X6" s="565"/>
      <c r="Y6" s="565"/>
    </row>
    <row r="7" spans="1:25">
      <c r="A7" s="115">
        <v>4</v>
      </c>
      <c r="B7" s="16"/>
      <c r="C7" s="3" t="s">
        <v>26</v>
      </c>
      <c r="D7" s="3"/>
      <c r="E7" s="3"/>
      <c r="F7" s="3"/>
      <c r="G7" s="26"/>
      <c r="H7" s="3"/>
      <c r="I7" s="3"/>
      <c r="J7" s="3"/>
      <c r="K7" s="26"/>
      <c r="L7" s="3"/>
      <c r="M7" s="26"/>
      <c r="N7" s="3"/>
      <c r="O7" s="9"/>
      <c r="P7" s="9"/>
      <c r="Q7" s="9"/>
      <c r="R7" s="9"/>
      <c r="S7" s="9"/>
      <c r="T7" s="9"/>
      <c r="U7" s="9"/>
      <c r="V7" s="565"/>
      <c r="W7" s="565"/>
      <c r="X7" s="565"/>
      <c r="Y7" s="565"/>
    </row>
    <row r="8" spans="1:25" s="1" customFormat="1">
      <c r="A8" s="115">
        <v>5</v>
      </c>
      <c r="B8" s="16" t="s">
        <v>8</v>
      </c>
      <c r="C8" s="16"/>
      <c r="D8" s="16"/>
      <c r="E8" s="11">
        <f>SUM(E13,E12,E11,E10,E9)</f>
        <v>2112812</v>
      </c>
      <c r="F8" s="11">
        <f t="shared" ref="F8:J8" si="0">SUM(F13,F12,F11,F10,F9)</f>
        <v>4036905</v>
      </c>
      <c r="G8" s="11">
        <f t="shared" si="0"/>
        <v>1891307</v>
      </c>
      <c r="H8" s="11">
        <f t="shared" si="0"/>
        <v>1148822</v>
      </c>
      <c r="I8" s="11">
        <f t="shared" si="0"/>
        <v>3037043</v>
      </c>
      <c r="J8" s="11">
        <f t="shared" si="0"/>
        <v>218801</v>
      </c>
      <c r="K8" s="31">
        <f>SUM(K9:K13)</f>
        <v>3258930</v>
      </c>
      <c r="L8" s="31">
        <f t="shared" ref="L8:M8" si="1">SUM(L9:L13)</f>
        <v>-41065</v>
      </c>
      <c r="M8" s="31">
        <f t="shared" si="1"/>
        <v>3217865</v>
      </c>
      <c r="N8" s="11">
        <f>N9+N10+N11+N12+N13</f>
        <v>2467345</v>
      </c>
      <c r="O8" s="121">
        <f>SUM(O9:O13)</f>
        <v>2877984</v>
      </c>
      <c r="P8" s="121">
        <f>SUM(P9:P13)</f>
        <v>5349312</v>
      </c>
      <c r="Q8" s="121">
        <f>SUM(Q9:Q13)</f>
        <v>4957218</v>
      </c>
      <c r="R8" s="121">
        <f>SUM(R9:R13)</f>
        <v>3893461</v>
      </c>
      <c r="S8" s="122">
        <f>SUM(S9:S13)</f>
        <v>3895196</v>
      </c>
      <c r="T8" s="122">
        <f t="shared" ref="T8:V8" si="2">SUM(T9:T13)</f>
        <v>259792</v>
      </c>
      <c r="U8" s="122">
        <f>SUM(U9:U13)</f>
        <v>4154988</v>
      </c>
      <c r="V8" s="122">
        <f t="shared" si="2"/>
        <v>-13442</v>
      </c>
      <c r="W8" s="122">
        <f>SUM(W9:W13)</f>
        <v>4141546</v>
      </c>
      <c r="X8" s="122">
        <f t="shared" ref="X8" si="3">SUM(X9:X13)</f>
        <v>215198</v>
      </c>
      <c r="Y8" s="122">
        <f>SUM(Y9:Y13)</f>
        <v>4356744</v>
      </c>
    </row>
    <row r="9" spans="1:25">
      <c r="A9" s="115">
        <v>6</v>
      </c>
      <c r="B9" s="3"/>
      <c r="C9" s="3" t="s">
        <v>2</v>
      </c>
      <c r="D9" s="3"/>
      <c r="E9" s="9">
        <v>275988</v>
      </c>
      <c r="F9" s="9">
        <v>726836</v>
      </c>
      <c r="G9" s="27">
        <v>158326</v>
      </c>
      <c r="H9" s="9">
        <v>242284</v>
      </c>
      <c r="I9" s="9">
        <f>H9+G9</f>
        <v>400610</v>
      </c>
      <c r="J9" s="9">
        <f>29000+1151+610+5587+559</f>
        <v>36907</v>
      </c>
      <c r="K9" s="81">
        <f>J9+I9</f>
        <v>437517</v>
      </c>
      <c r="L9" s="9">
        <f>738+260+1463+340+12066+6156-655+1505</f>
        <v>21873</v>
      </c>
      <c r="M9" s="29">
        <f>K9+L9</f>
        <v>459390</v>
      </c>
      <c r="N9" s="9">
        <v>238109</v>
      </c>
      <c r="O9" s="9">
        <v>259186</v>
      </c>
      <c r="P9" s="9">
        <v>156890</v>
      </c>
      <c r="Q9" s="9">
        <v>129001</v>
      </c>
      <c r="R9" s="9">
        <v>157575</v>
      </c>
      <c r="S9" s="565">
        <v>240848</v>
      </c>
      <c r="T9" s="565">
        <v>164055</v>
      </c>
      <c r="U9" s="565">
        <f>SUM(S9:T9)</f>
        <v>404903</v>
      </c>
      <c r="V9" s="565">
        <v>9541</v>
      </c>
      <c r="W9" s="565">
        <f>SUM(U9:V9)</f>
        <v>414444</v>
      </c>
      <c r="X9" s="565">
        <v>2752</v>
      </c>
      <c r="Y9" s="565">
        <f>SUM(W9:X9)</f>
        <v>417196</v>
      </c>
    </row>
    <row r="10" spans="1:25">
      <c r="A10" s="115">
        <v>7</v>
      </c>
      <c r="B10" s="3"/>
      <c r="C10" s="3" t="s">
        <v>1</v>
      </c>
      <c r="D10" s="3"/>
      <c r="E10" s="9">
        <v>18484</v>
      </c>
      <c r="F10" s="9">
        <v>75838</v>
      </c>
      <c r="G10">
        <v>20817</v>
      </c>
      <c r="H10" s="9">
        <v>25243</v>
      </c>
      <c r="I10" s="9">
        <f t="shared" ref="I10:I12" si="4">H10+G10</f>
        <v>46060</v>
      </c>
      <c r="J10" s="9">
        <f>3870+225+107+1090+98+7000</f>
        <v>12390</v>
      </c>
      <c r="K10" s="81">
        <f>J10+I10</f>
        <v>58450</v>
      </c>
      <c r="L10" s="9">
        <f>200+50+256+60+2112+1077-57</f>
        <v>3698</v>
      </c>
      <c r="M10" s="29">
        <f t="shared" ref="M10:M12" si="5">K10+L10</f>
        <v>62148</v>
      </c>
      <c r="N10" s="9">
        <v>41336</v>
      </c>
      <c r="O10" s="9">
        <v>42024</v>
      </c>
      <c r="P10" s="9">
        <v>20755</v>
      </c>
      <c r="Q10" s="9">
        <v>19315</v>
      </c>
      <c r="R10" s="9">
        <v>16374</v>
      </c>
      <c r="S10" s="565">
        <v>30056</v>
      </c>
      <c r="T10" s="565">
        <v>10918</v>
      </c>
      <c r="U10" s="565">
        <f t="shared" ref="U10:U12" si="6">SUM(S10:T10)</f>
        <v>40974</v>
      </c>
      <c r="V10" s="565">
        <v>1240</v>
      </c>
      <c r="W10" s="565">
        <f t="shared" ref="W10:W12" si="7">SUM(U10:V10)</f>
        <v>42214</v>
      </c>
      <c r="X10" s="565">
        <v>179</v>
      </c>
      <c r="Y10" s="565">
        <f t="shared" ref="Y10:Y12" si="8">SUM(W10:X10)</f>
        <v>42393</v>
      </c>
    </row>
    <row r="11" spans="1:25">
      <c r="A11" s="115">
        <v>8</v>
      </c>
      <c r="B11" s="3"/>
      <c r="C11" s="3" t="s">
        <v>4</v>
      </c>
      <c r="D11" s="3"/>
      <c r="E11" s="9">
        <v>772214</v>
      </c>
      <c r="F11" s="9">
        <v>1932592</v>
      </c>
      <c r="G11" s="27">
        <v>783490</v>
      </c>
      <c r="H11" s="9">
        <v>369291</v>
      </c>
      <c r="I11" s="9">
        <v>1149695</v>
      </c>
      <c r="J11" s="9">
        <f>232019+32869+2165+585+2214+598+4504+4505+2432-91000-25000+76184+1263+3086-7000+20000+112420</f>
        <v>371844</v>
      </c>
      <c r="K11" s="81">
        <f>J11+I11+3086</f>
        <v>1524625</v>
      </c>
      <c r="L11" s="9">
        <f>240+387+46000+22542+4250+1148+5372+1451+30419+1519+3086</f>
        <v>116414</v>
      </c>
      <c r="M11" s="29">
        <f t="shared" si="5"/>
        <v>1641039</v>
      </c>
      <c r="N11" s="9">
        <v>1136420</v>
      </c>
      <c r="O11" s="9">
        <v>1055130</v>
      </c>
      <c r="P11" s="9">
        <v>3503374</v>
      </c>
      <c r="Q11" s="9">
        <v>3112642</v>
      </c>
      <c r="R11" s="9">
        <v>2198475</v>
      </c>
      <c r="S11" s="565">
        <v>1731587</v>
      </c>
      <c r="T11" s="565">
        <v>56245</v>
      </c>
      <c r="U11" s="565">
        <f t="shared" si="6"/>
        <v>1787832</v>
      </c>
      <c r="V11" s="565">
        <v>-9252</v>
      </c>
      <c r="W11" s="565">
        <f t="shared" si="7"/>
        <v>1778580</v>
      </c>
      <c r="X11" s="565">
        <v>10227</v>
      </c>
      <c r="Y11" s="565">
        <f t="shared" si="8"/>
        <v>1788807</v>
      </c>
    </row>
    <row r="12" spans="1:25">
      <c r="A12" s="115">
        <v>9</v>
      </c>
      <c r="B12" s="3"/>
      <c r="C12" s="3" t="s">
        <v>3</v>
      </c>
      <c r="D12" s="3"/>
      <c r="E12" s="9">
        <v>129000</v>
      </c>
      <c r="F12" s="9">
        <v>125007</v>
      </c>
      <c r="G12" s="27">
        <v>108500</v>
      </c>
      <c r="H12" s="9">
        <v>24000</v>
      </c>
      <c r="I12" s="9">
        <f t="shared" si="4"/>
        <v>132500</v>
      </c>
      <c r="J12" s="9">
        <v>2724</v>
      </c>
      <c r="K12" s="81">
        <f>J12+I12</f>
        <v>135224</v>
      </c>
      <c r="L12" s="9">
        <v>0</v>
      </c>
      <c r="M12" s="29">
        <f t="shared" si="5"/>
        <v>135224</v>
      </c>
      <c r="N12" s="9">
        <v>149500</v>
      </c>
      <c r="O12" s="9">
        <v>113300</v>
      </c>
      <c r="P12" s="9">
        <v>185000</v>
      </c>
      <c r="Q12" s="9">
        <v>98650</v>
      </c>
      <c r="R12" s="9">
        <v>176650</v>
      </c>
      <c r="S12" s="565">
        <v>166650</v>
      </c>
      <c r="T12" s="565">
        <v>0</v>
      </c>
      <c r="U12" s="565">
        <f t="shared" si="6"/>
        <v>166650</v>
      </c>
      <c r="V12" s="565">
        <v>0</v>
      </c>
      <c r="W12" s="565">
        <f t="shared" si="7"/>
        <v>166650</v>
      </c>
      <c r="X12" s="565">
        <v>1170</v>
      </c>
      <c r="Y12" s="565">
        <f t="shared" si="8"/>
        <v>167820</v>
      </c>
    </row>
    <row r="13" spans="1:25">
      <c r="A13" s="115">
        <v>10</v>
      </c>
      <c r="B13" s="3"/>
      <c r="C13" s="3" t="s">
        <v>5</v>
      </c>
      <c r="D13" s="3"/>
      <c r="E13" s="11">
        <f t="shared" ref="E13:M13" si="9">SUM(E14:E18)</f>
        <v>917126</v>
      </c>
      <c r="F13" s="11">
        <f t="shared" si="9"/>
        <v>1176632</v>
      </c>
      <c r="G13" s="11">
        <f t="shared" si="9"/>
        <v>820174</v>
      </c>
      <c r="H13" s="11">
        <f t="shared" si="9"/>
        <v>488004</v>
      </c>
      <c r="I13" s="11">
        <f t="shared" si="9"/>
        <v>1308178</v>
      </c>
      <c r="J13" s="11">
        <f t="shared" si="9"/>
        <v>-205064</v>
      </c>
      <c r="K13" s="31">
        <f t="shared" si="9"/>
        <v>1103114</v>
      </c>
      <c r="L13" s="31">
        <f t="shared" si="9"/>
        <v>-183050</v>
      </c>
      <c r="M13" s="31">
        <f t="shared" si="9"/>
        <v>920064</v>
      </c>
      <c r="N13" s="11">
        <f>N16+N17+N18</f>
        <v>901980</v>
      </c>
      <c r="O13" s="123">
        <f>SUM(O14:O18)</f>
        <v>1408344</v>
      </c>
      <c r="P13" s="123">
        <f>SUM(P14:P18)</f>
        <v>1483293</v>
      </c>
      <c r="Q13" s="123">
        <f>SUM(Q14:Q18)</f>
        <v>1597610</v>
      </c>
      <c r="R13" s="123">
        <f>SUM(R14:R18)</f>
        <v>1344387</v>
      </c>
      <c r="S13" s="567">
        <f>SUM(S14:S18)</f>
        <v>1726055</v>
      </c>
      <c r="T13" s="567">
        <f t="shared" ref="T13:W13" si="10">SUM(T14:T18)</f>
        <v>28574</v>
      </c>
      <c r="U13" s="567">
        <f t="shared" si="10"/>
        <v>1754629</v>
      </c>
      <c r="V13" s="567">
        <f t="shared" si="10"/>
        <v>-14971</v>
      </c>
      <c r="W13" s="567">
        <f t="shared" si="10"/>
        <v>1739658</v>
      </c>
      <c r="X13" s="567">
        <f>SUM(X14:X18)</f>
        <v>200870</v>
      </c>
      <c r="Y13" s="567">
        <f t="shared" ref="Y13" si="11">SUM(Y14:Y18)</f>
        <v>1940528</v>
      </c>
    </row>
    <row r="14" spans="1:25" s="2" customFormat="1">
      <c r="A14" s="115">
        <f>A13+1</f>
        <v>11</v>
      </c>
      <c r="B14" s="22"/>
      <c r="C14" s="22"/>
      <c r="D14" s="23" t="s">
        <v>20</v>
      </c>
      <c r="E14" s="19">
        <v>0</v>
      </c>
      <c r="F14" s="9">
        <v>990</v>
      </c>
      <c r="G14" s="28">
        <v>0</v>
      </c>
      <c r="H14" s="9">
        <v>0</v>
      </c>
      <c r="I14" s="11">
        <v>0</v>
      </c>
      <c r="J14" s="9">
        <v>174</v>
      </c>
      <c r="K14" s="81">
        <f>J14+I14</f>
        <v>174</v>
      </c>
      <c r="L14" s="9">
        <v>0</v>
      </c>
      <c r="M14" s="29">
        <v>174</v>
      </c>
      <c r="N14" s="9">
        <v>0</v>
      </c>
      <c r="O14" s="9">
        <v>202056</v>
      </c>
      <c r="P14" s="9">
        <v>179069</v>
      </c>
      <c r="Q14" s="9">
        <f>287594+1893</f>
        <v>289487</v>
      </c>
      <c r="R14" s="9">
        <v>408455</v>
      </c>
      <c r="S14" s="565">
        <v>510000</v>
      </c>
      <c r="T14" s="565">
        <v>14451</v>
      </c>
      <c r="U14" s="565">
        <f t="shared" ref="U14:U18" si="12">SUM(S14:T14)</f>
        <v>524451</v>
      </c>
      <c r="V14" s="565">
        <v>0</v>
      </c>
      <c r="W14" s="565">
        <f t="shared" ref="W14:W18" si="13">SUM(U14:V14)</f>
        <v>524451</v>
      </c>
      <c r="X14" s="565">
        <v>208419</v>
      </c>
      <c r="Y14" s="565">
        <f t="shared" ref="Y14:Y18" si="14">SUM(W14:X14)</f>
        <v>732870</v>
      </c>
    </row>
    <row r="15" spans="1:25" s="2" customFormat="1">
      <c r="A15" s="115">
        <f t="shared" ref="A15:A78" si="15">A14+1</f>
        <v>12</v>
      </c>
      <c r="B15" s="22"/>
      <c r="C15" s="22"/>
      <c r="D15" s="22" t="s">
        <v>519</v>
      </c>
      <c r="E15" s="19"/>
      <c r="F15" s="9">
        <v>52944</v>
      </c>
      <c r="G15" s="27">
        <v>25000</v>
      </c>
      <c r="H15" s="9">
        <v>26174</v>
      </c>
      <c r="I15" s="9">
        <f>H15+G15</f>
        <v>51174</v>
      </c>
      <c r="J15" s="9">
        <v>1432</v>
      </c>
      <c r="K15" s="81">
        <f>J15+I15</f>
        <v>52606</v>
      </c>
      <c r="L15" s="9">
        <v>0</v>
      </c>
      <c r="M15" s="29">
        <v>52606</v>
      </c>
      <c r="N15" s="10">
        <v>0</v>
      </c>
      <c r="O15" s="9">
        <v>44077</v>
      </c>
      <c r="P15" s="9">
        <v>120090</v>
      </c>
      <c r="Q15" s="9">
        <v>138474</v>
      </c>
      <c r="R15" s="9">
        <v>99843</v>
      </c>
      <c r="S15" s="565">
        <v>132522</v>
      </c>
      <c r="T15" s="565">
        <v>8540</v>
      </c>
      <c r="U15" s="565">
        <f t="shared" si="12"/>
        <v>141062</v>
      </c>
      <c r="V15" s="565">
        <v>139</v>
      </c>
      <c r="W15" s="565">
        <f t="shared" si="13"/>
        <v>141201</v>
      </c>
      <c r="X15" s="565">
        <v>0</v>
      </c>
      <c r="Y15" s="565">
        <f t="shared" si="14"/>
        <v>141201</v>
      </c>
    </row>
    <row r="16" spans="1:25" s="2" customFormat="1">
      <c r="A16" s="115">
        <f t="shared" si="15"/>
        <v>13</v>
      </c>
      <c r="B16" s="22"/>
      <c r="C16" s="22"/>
      <c r="D16" s="22" t="s">
        <v>520</v>
      </c>
      <c r="E16" s="9">
        <v>456646</v>
      </c>
      <c r="F16" s="14">
        <v>556464</v>
      </c>
      <c r="G16" s="28">
        <v>584074</v>
      </c>
      <c r="H16" s="19">
        <v>-28000</v>
      </c>
      <c r="I16" s="9">
        <f>H16+G16</f>
        <v>556074</v>
      </c>
      <c r="J16" s="9">
        <f>4534+1650</f>
        <v>6184</v>
      </c>
      <c r="K16" s="81">
        <f>J16+I16</f>
        <v>562258</v>
      </c>
      <c r="L16" s="9">
        <f>7700</f>
        <v>7700</v>
      </c>
      <c r="M16" s="29">
        <f>K16+L16</f>
        <v>569958</v>
      </c>
      <c r="N16" s="9">
        <v>534237</v>
      </c>
      <c r="O16" s="9">
        <v>487345</v>
      </c>
      <c r="P16" s="9">
        <v>665800</v>
      </c>
      <c r="Q16" s="9">
        <v>577600</v>
      </c>
      <c r="R16" s="9">
        <v>560100</v>
      </c>
      <c r="S16" s="565">
        <v>827437</v>
      </c>
      <c r="T16" s="565">
        <v>9077</v>
      </c>
      <c r="U16" s="565">
        <f t="shared" si="12"/>
        <v>836514</v>
      </c>
      <c r="V16" s="565">
        <v>13955</v>
      </c>
      <c r="W16" s="565">
        <f t="shared" si="13"/>
        <v>850469</v>
      </c>
      <c r="X16" s="565">
        <v>600</v>
      </c>
      <c r="Y16" s="565">
        <f t="shared" si="14"/>
        <v>851069</v>
      </c>
    </row>
    <row r="17" spans="1:25" s="2" customFormat="1">
      <c r="A17" s="115">
        <f t="shared" si="15"/>
        <v>14</v>
      </c>
      <c r="B17" s="22"/>
      <c r="C17" s="22"/>
      <c r="D17" s="22" t="s">
        <v>6</v>
      </c>
      <c r="E17" s="9">
        <v>50000</v>
      </c>
      <c r="F17" s="9">
        <v>109538</v>
      </c>
      <c r="G17" s="28">
        <v>50000</v>
      </c>
      <c r="H17" s="19">
        <v>489830</v>
      </c>
      <c r="I17" s="9">
        <f t="shared" ref="I17:I30" si="16">H17+G17</f>
        <v>539830</v>
      </c>
      <c r="J17" s="9">
        <f>-5038+720-4056-204480</f>
        <v>-212854</v>
      </c>
      <c r="K17" s="81">
        <f>J17+I17</f>
        <v>326976</v>
      </c>
      <c r="L17" s="9">
        <f>2160-504-116-10000-12221-7233-89575-1000-9917-28000</f>
        <v>-156406</v>
      </c>
      <c r="M17" s="29">
        <f>K17+L17</f>
        <v>170570</v>
      </c>
      <c r="N17" s="9">
        <v>298576</v>
      </c>
      <c r="O17" s="9">
        <v>542717</v>
      </c>
      <c r="P17" s="9">
        <v>430053</v>
      </c>
      <c r="Q17" s="9">
        <v>218351</v>
      </c>
      <c r="R17" s="14">
        <v>222074</v>
      </c>
      <c r="S17" s="565">
        <v>202181</v>
      </c>
      <c r="T17" s="565">
        <v>-3494</v>
      </c>
      <c r="U17" s="565">
        <f t="shared" si="12"/>
        <v>198687</v>
      </c>
      <c r="V17" s="565">
        <v>-29065</v>
      </c>
      <c r="W17" s="565">
        <f t="shared" si="13"/>
        <v>169622</v>
      </c>
      <c r="X17" s="565">
        <v>-8149</v>
      </c>
      <c r="Y17" s="565">
        <f t="shared" si="14"/>
        <v>161473</v>
      </c>
    </row>
    <row r="18" spans="1:25" s="2" customFormat="1">
      <c r="A18" s="115">
        <f t="shared" si="15"/>
        <v>15</v>
      </c>
      <c r="B18" s="22"/>
      <c r="C18" s="22"/>
      <c r="D18" s="22" t="s">
        <v>103</v>
      </c>
      <c r="E18" s="9">
        <v>410480</v>
      </c>
      <c r="F18" s="9">
        <v>456696</v>
      </c>
      <c r="G18" s="29">
        <v>161100</v>
      </c>
      <c r="H18" s="19">
        <v>0</v>
      </c>
      <c r="I18" s="9">
        <f t="shared" si="16"/>
        <v>161100</v>
      </c>
      <c r="J18" s="9">
        <f t="shared" ref="J18" si="17">+K18-I18</f>
        <v>0</v>
      </c>
      <c r="K18" s="81">
        <v>161100</v>
      </c>
      <c r="L18" s="9">
        <v>-34344</v>
      </c>
      <c r="M18" s="29">
        <f>K18+L18</f>
        <v>126756</v>
      </c>
      <c r="N18" s="9">
        <v>69167</v>
      </c>
      <c r="O18" s="9">
        <v>132149</v>
      </c>
      <c r="P18" s="9">
        <v>88281</v>
      </c>
      <c r="Q18" s="9">
        <v>373698</v>
      </c>
      <c r="R18" s="9">
        <v>53915</v>
      </c>
      <c r="S18" s="565">
        <v>53915</v>
      </c>
      <c r="T18" s="565">
        <v>0</v>
      </c>
      <c r="U18" s="565">
        <f t="shared" si="12"/>
        <v>53915</v>
      </c>
      <c r="V18" s="565">
        <v>0</v>
      </c>
      <c r="W18" s="565">
        <f t="shared" si="13"/>
        <v>53915</v>
      </c>
      <c r="X18" s="565">
        <v>0</v>
      </c>
      <c r="Y18" s="565">
        <f t="shared" si="14"/>
        <v>53915</v>
      </c>
    </row>
    <row r="19" spans="1:25" s="1" customFormat="1">
      <c r="A19" s="115">
        <f t="shared" si="15"/>
        <v>16</v>
      </c>
      <c r="B19" s="16" t="s">
        <v>9</v>
      </c>
      <c r="C19" s="16"/>
      <c r="D19" s="16"/>
      <c r="E19" s="11">
        <f>SUM(E22,E21,E20)</f>
        <v>4324694</v>
      </c>
      <c r="F19" s="11">
        <f t="shared" ref="F19:J19" si="18">SUM(F22,F21,F20)</f>
        <v>6454473</v>
      </c>
      <c r="G19" s="11">
        <f t="shared" si="18"/>
        <v>3963362</v>
      </c>
      <c r="H19" s="11">
        <f t="shared" si="18"/>
        <v>-445779</v>
      </c>
      <c r="I19" s="11">
        <f t="shared" si="18"/>
        <v>3517583</v>
      </c>
      <c r="J19" s="11">
        <f t="shared" si="18"/>
        <v>-40874</v>
      </c>
      <c r="K19" s="82">
        <f>SUM(K20:K22)</f>
        <v>3476709</v>
      </c>
      <c r="L19" s="82">
        <f t="shared" ref="L19:M19" si="19">SUM(L20:L22)</f>
        <v>221151</v>
      </c>
      <c r="M19" s="82">
        <f t="shared" si="19"/>
        <v>3697860</v>
      </c>
      <c r="N19" s="11">
        <f>N20+N21+N22</f>
        <v>1567533</v>
      </c>
      <c r="O19" s="111">
        <f>SUM(O20:O22)</f>
        <v>880049</v>
      </c>
      <c r="P19" s="111">
        <f>SUM(P20:P22)</f>
        <v>9398278</v>
      </c>
      <c r="Q19" s="111">
        <f>SUM(Q20:Q22)</f>
        <v>5092781</v>
      </c>
      <c r="R19" s="111">
        <f>SUM(R20:R22)</f>
        <v>3448789</v>
      </c>
      <c r="S19" s="122">
        <f>SUM(S20:S22)</f>
        <v>875376</v>
      </c>
      <c r="T19" s="122">
        <f t="shared" ref="T19:Y19" si="20">SUM(T20:T22)</f>
        <v>266956</v>
      </c>
      <c r="U19" s="122">
        <f t="shared" si="20"/>
        <v>1142332</v>
      </c>
      <c r="V19" s="122">
        <f t="shared" si="20"/>
        <v>8730</v>
      </c>
      <c r="W19" s="122">
        <f t="shared" si="20"/>
        <v>1151062</v>
      </c>
      <c r="X19" s="122">
        <f t="shared" si="20"/>
        <v>163460</v>
      </c>
      <c r="Y19" s="122">
        <f t="shared" si="20"/>
        <v>1314522</v>
      </c>
    </row>
    <row r="20" spans="1:25">
      <c r="A20" s="115">
        <f t="shared" si="15"/>
        <v>17</v>
      </c>
      <c r="B20" s="3"/>
      <c r="C20" s="3" t="s">
        <v>10</v>
      </c>
      <c r="D20" s="3"/>
      <c r="E20" s="9">
        <v>4203514</v>
      </c>
      <c r="F20" s="9">
        <v>5198807</v>
      </c>
      <c r="G20" s="29">
        <v>3257446</v>
      </c>
      <c r="H20" s="9">
        <v>-449334</v>
      </c>
      <c r="I20" s="9">
        <f t="shared" si="16"/>
        <v>2808112</v>
      </c>
      <c r="J20" s="9">
        <f>-428816-20000+45633</f>
        <v>-403183</v>
      </c>
      <c r="K20" s="81">
        <f>J20+I20</f>
        <v>2404929</v>
      </c>
      <c r="L20" s="9">
        <f>128458+5715+32687+34344+8398+2400</f>
        <v>212002</v>
      </c>
      <c r="M20" s="29">
        <f t="shared" ref="M20:M25" si="21">K20+L20</f>
        <v>2616931</v>
      </c>
      <c r="N20" s="9">
        <v>838759</v>
      </c>
      <c r="O20" s="9">
        <v>574696</v>
      </c>
      <c r="P20" s="9">
        <v>8232509</v>
      </c>
      <c r="Q20" s="9">
        <v>4942513</v>
      </c>
      <c r="R20" s="9">
        <v>3302844</v>
      </c>
      <c r="S20" s="565">
        <v>250001</v>
      </c>
      <c r="T20" s="565">
        <v>12588</v>
      </c>
      <c r="U20" s="565">
        <f t="shared" ref="U20:U21" si="22">SUM(S20:T20)</f>
        <v>262589</v>
      </c>
      <c r="V20" s="565">
        <v>-18500</v>
      </c>
      <c r="W20" s="565">
        <f t="shared" ref="W20:W21" si="23">SUM(U20:V20)</f>
        <v>244089</v>
      </c>
      <c r="X20" s="565">
        <v>20092</v>
      </c>
      <c r="Y20" s="565">
        <f t="shared" ref="Y20:Y21" si="24">SUM(W20:X20)</f>
        <v>264181</v>
      </c>
    </row>
    <row r="21" spans="1:25">
      <c r="A21" s="115">
        <f t="shared" si="15"/>
        <v>18</v>
      </c>
      <c r="B21" s="3"/>
      <c r="C21" s="3" t="s">
        <v>11</v>
      </c>
      <c r="D21" s="3"/>
      <c r="E21" s="9">
        <v>106180</v>
      </c>
      <c r="F21" s="9">
        <v>1205666</v>
      </c>
      <c r="G21" s="27">
        <v>676916</v>
      </c>
      <c r="H21" s="9">
        <v>-4445</v>
      </c>
      <c r="I21" s="9">
        <f t="shared" si="16"/>
        <v>672471</v>
      </c>
      <c r="J21" s="9">
        <f>269610+64516+16496</f>
        <v>350622</v>
      </c>
      <c r="K21" s="81">
        <f>J21+I21</f>
        <v>1023093</v>
      </c>
      <c r="L21" s="9">
        <f>-5715+14864</f>
        <v>9149</v>
      </c>
      <c r="M21" s="29">
        <f t="shared" si="21"/>
        <v>1032242</v>
      </c>
      <c r="N21" s="9">
        <v>673774</v>
      </c>
      <c r="O21" s="9">
        <v>305353</v>
      </c>
      <c r="P21" s="9">
        <v>1165769</v>
      </c>
      <c r="Q21" s="9">
        <v>148154</v>
      </c>
      <c r="R21" s="9">
        <v>21500</v>
      </c>
      <c r="S21" s="565">
        <v>534694</v>
      </c>
      <c r="T21" s="565">
        <v>254357</v>
      </c>
      <c r="U21" s="565">
        <f t="shared" si="22"/>
        <v>789051</v>
      </c>
      <c r="V21" s="565">
        <v>27230</v>
      </c>
      <c r="W21" s="565">
        <f t="shared" si="23"/>
        <v>816281</v>
      </c>
      <c r="X21" s="565">
        <v>143368</v>
      </c>
      <c r="Y21" s="565">
        <f t="shared" si="24"/>
        <v>959649</v>
      </c>
    </row>
    <row r="22" spans="1:25">
      <c r="A22" s="115">
        <f t="shared" si="15"/>
        <v>19</v>
      </c>
      <c r="B22" s="3"/>
      <c r="C22" s="3" t="s">
        <v>12</v>
      </c>
      <c r="D22" s="3"/>
      <c r="E22" s="9">
        <v>15000</v>
      </c>
      <c r="F22" s="14">
        <v>50000</v>
      </c>
      <c r="G22" s="27">
        <v>29000</v>
      </c>
      <c r="H22" s="9">
        <v>8000</v>
      </c>
      <c r="I22" s="9">
        <f t="shared" si="16"/>
        <v>37000</v>
      </c>
      <c r="J22" s="9">
        <v>11687</v>
      </c>
      <c r="K22" s="81">
        <f>SUM(K23:K25)</f>
        <v>48687</v>
      </c>
      <c r="L22" s="9">
        <v>0</v>
      </c>
      <c r="M22" s="29">
        <f t="shared" si="21"/>
        <v>48687</v>
      </c>
      <c r="N22" s="9">
        <v>55000</v>
      </c>
      <c r="O22" s="120">
        <f>SUM(O23:O25)</f>
        <v>0</v>
      </c>
      <c r="P22" s="120">
        <f>SUM(P23:P25)</f>
        <v>0</v>
      </c>
      <c r="Q22" s="120">
        <f>SUM(Q23:Q25)</f>
        <v>2114</v>
      </c>
      <c r="R22" s="120">
        <f>SUM(R23:R25)</f>
        <v>124445</v>
      </c>
      <c r="S22" s="568">
        <f>SUM(S23:S25)</f>
        <v>90681</v>
      </c>
      <c r="T22" s="568">
        <f t="shared" ref="T22:Y22" si="25">SUM(T23:T25)</f>
        <v>11</v>
      </c>
      <c r="U22" s="568">
        <f t="shared" si="25"/>
        <v>90692</v>
      </c>
      <c r="V22" s="568">
        <f t="shared" si="25"/>
        <v>0</v>
      </c>
      <c r="W22" s="568">
        <f t="shared" si="25"/>
        <v>90692</v>
      </c>
      <c r="X22" s="568">
        <f t="shared" si="25"/>
        <v>0</v>
      </c>
      <c r="Y22" s="568">
        <f t="shared" si="25"/>
        <v>90692</v>
      </c>
    </row>
    <row r="23" spans="1:25" s="2" customFormat="1">
      <c r="A23" s="115">
        <f t="shared" si="15"/>
        <v>20</v>
      </c>
      <c r="B23" s="22"/>
      <c r="C23" s="22"/>
      <c r="D23" s="22" t="s">
        <v>13</v>
      </c>
      <c r="E23" s="19">
        <v>0</v>
      </c>
      <c r="F23" s="9">
        <v>5450</v>
      </c>
      <c r="G23" s="28">
        <v>0</v>
      </c>
      <c r="H23" s="19">
        <v>3000</v>
      </c>
      <c r="I23" s="9">
        <f t="shared" si="16"/>
        <v>3000</v>
      </c>
      <c r="J23" s="9">
        <v>11687</v>
      </c>
      <c r="K23" s="81">
        <f>J23+I23</f>
        <v>14687</v>
      </c>
      <c r="L23" s="19">
        <v>0</v>
      </c>
      <c r="M23" s="30">
        <f t="shared" si="21"/>
        <v>14687</v>
      </c>
      <c r="N23" s="9">
        <v>5000</v>
      </c>
      <c r="O23" s="9">
        <v>0</v>
      </c>
      <c r="P23" s="9">
        <v>0</v>
      </c>
      <c r="Q23" s="9">
        <v>2114</v>
      </c>
      <c r="R23" s="9">
        <f>1717+85181+27547</f>
        <v>114445</v>
      </c>
      <c r="S23" s="565">
        <v>85181</v>
      </c>
      <c r="T23" s="565">
        <v>11</v>
      </c>
      <c r="U23" s="565">
        <f t="shared" ref="U23:U25" si="26">SUM(S23:T23)</f>
        <v>85192</v>
      </c>
      <c r="V23" s="565">
        <v>0</v>
      </c>
      <c r="W23" s="565">
        <f t="shared" ref="W23:W25" si="27">SUM(U23:V23)</f>
        <v>85192</v>
      </c>
      <c r="X23" s="565">
        <v>0</v>
      </c>
      <c r="Y23" s="565">
        <f t="shared" ref="Y23:Y25" si="28">SUM(W23:X23)</f>
        <v>85192</v>
      </c>
    </row>
    <row r="24" spans="1:25" s="2" customFormat="1" ht="30">
      <c r="A24" s="115">
        <f t="shared" si="15"/>
        <v>21</v>
      </c>
      <c r="B24" s="22"/>
      <c r="C24" s="22"/>
      <c r="D24" s="18" t="s">
        <v>503</v>
      </c>
      <c r="E24" s="19">
        <v>0</v>
      </c>
      <c r="F24" s="9">
        <v>0</v>
      </c>
      <c r="G24" s="30">
        <v>0</v>
      </c>
      <c r="H24" s="19">
        <f>+'[2]Kiad-Mód'!F24</f>
        <v>0</v>
      </c>
      <c r="I24" s="9">
        <f t="shared" si="16"/>
        <v>0</v>
      </c>
      <c r="J24" s="9">
        <v>0</v>
      </c>
      <c r="K24" s="81">
        <v>0</v>
      </c>
      <c r="L24" s="19">
        <v>0</v>
      </c>
      <c r="M24" s="30">
        <f t="shared" si="21"/>
        <v>0</v>
      </c>
      <c r="N24" s="9">
        <v>0</v>
      </c>
      <c r="O24" s="9">
        <v>0</v>
      </c>
      <c r="P24" s="9">
        <v>0</v>
      </c>
      <c r="Q24" s="9">
        <v>0</v>
      </c>
      <c r="R24" s="9">
        <v>10000</v>
      </c>
      <c r="S24" s="565">
        <v>5500</v>
      </c>
      <c r="T24" s="565">
        <v>0</v>
      </c>
      <c r="U24" s="565">
        <f t="shared" si="26"/>
        <v>5500</v>
      </c>
      <c r="V24" s="565">
        <v>0</v>
      </c>
      <c r="W24" s="565">
        <f t="shared" si="27"/>
        <v>5500</v>
      </c>
      <c r="X24" s="565">
        <v>0</v>
      </c>
      <c r="Y24" s="565">
        <f t="shared" si="28"/>
        <v>5500</v>
      </c>
    </row>
    <row r="25" spans="1:25" s="2" customFormat="1">
      <c r="A25" s="115">
        <f t="shared" si="15"/>
        <v>22</v>
      </c>
      <c r="B25" s="22"/>
      <c r="C25" s="22"/>
      <c r="D25" s="22" t="s">
        <v>505</v>
      </c>
      <c r="E25" s="19">
        <v>0</v>
      </c>
      <c r="F25" s="9">
        <v>44550</v>
      </c>
      <c r="G25" s="30">
        <v>29000</v>
      </c>
      <c r="H25" s="19">
        <v>5000</v>
      </c>
      <c r="I25" s="9">
        <f t="shared" si="16"/>
        <v>34000</v>
      </c>
      <c r="J25" s="9">
        <f t="shared" ref="J25" si="29">+K25-I25</f>
        <v>0</v>
      </c>
      <c r="K25" s="81">
        <v>34000</v>
      </c>
      <c r="L25" s="19">
        <v>0</v>
      </c>
      <c r="M25" s="30">
        <f t="shared" si="21"/>
        <v>34000</v>
      </c>
      <c r="N25" s="9">
        <v>50000</v>
      </c>
      <c r="O25" s="9">
        <v>0</v>
      </c>
      <c r="P25" s="9">
        <v>0</v>
      </c>
      <c r="Q25" s="9">
        <v>0</v>
      </c>
      <c r="R25" s="9">
        <v>0</v>
      </c>
      <c r="S25" s="565">
        <v>0</v>
      </c>
      <c r="T25" s="565">
        <v>0</v>
      </c>
      <c r="U25" s="565">
        <f t="shared" si="26"/>
        <v>0</v>
      </c>
      <c r="V25" s="565">
        <v>0</v>
      </c>
      <c r="W25" s="565">
        <f t="shared" si="27"/>
        <v>0</v>
      </c>
      <c r="X25" s="565">
        <v>0</v>
      </c>
      <c r="Y25" s="565">
        <f t="shared" si="28"/>
        <v>0</v>
      </c>
    </row>
    <row r="26" spans="1:25" s="1" customFormat="1">
      <c r="A26" s="115">
        <f t="shared" si="15"/>
        <v>23</v>
      </c>
      <c r="B26" s="16" t="s">
        <v>15</v>
      </c>
      <c r="C26" s="16"/>
      <c r="D26" s="16"/>
      <c r="E26" s="11">
        <f>SUM(E27:E30)</f>
        <v>1123643</v>
      </c>
      <c r="F26" s="11">
        <f t="shared" ref="F26:M26" si="30">SUM(F27:F30)</f>
        <v>1598890</v>
      </c>
      <c r="G26" s="11">
        <f t="shared" si="30"/>
        <v>1297839</v>
      </c>
      <c r="H26" s="11">
        <f t="shared" si="30"/>
        <v>20668</v>
      </c>
      <c r="I26" s="11">
        <f t="shared" si="30"/>
        <v>1318507</v>
      </c>
      <c r="J26" s="11">
        <f t="shared" si="30"/>
        <v>26367</v>
      </c>
      <c r="K26" s="31">
        <f t="shared" si="30"/>
        <v>1344874</v>
      </c>
      <c r="L26" s="31">
        <f t="shared" si="30"/>
        <v>46487</v>
      </c>
      <c r="M26" s="31">
        <f t="shared" si="30"/>
        <v>1391361</v>
      </c>
      <c r="N26" s="11">
        <f>N27+N28+N29+N30</f>
        <v>1326871</v>
      </c>
      <c r="O26" s="111">
        <f>SUM(O27:O30)</f>
        <v>1382172</v>
      </c>
      <c r="P26" s="111">
        <f>SUM(P27:P30)</f>
        <v>1583894</v>
      </c>
      <c r="Q26" s="111">
        <f>SUM(Q27:Q30)</f>
        <v>1897558</v>
      </c>
      <c r="R26" s="111">
        <f>SUM(R27:R30)</f>
        <v>2218814</v>
      </c>
      <c r="S26" s="122">
        <f>SUM(S27:S30)</f>
        <v>2516530</v>
      </c>
      <c r="T26" s="122">
        <f t="shared" ref="T26:Y26" si="31">SUM(T27:T30)</f>
        <v>-9150</v>
      </c>
      <c r="U26" s="122">
        <f t="shared" si="31"/>
        <v>2507380</v>
      </c>
      <c r="V26" s="122">
        <f t="shared" si="31"/>
        <v>49094</v>
      </c>
      <c r="W26" s="122">
        <f t="shared" si="31"/>
        <v>2556474</v>
      </c>
      <c r="X26" s="122">
        <f t="shared" si="31"/>
        <v>21337</v>
      </c>
      <c r="Y26" s="122">
        <f t="shared" si="31"/>
        <v>2577811</v>
      </c>
    </row>
    <row r="27" spans="1:25">
      <c r="A27" s="115">
        <f t="shared" si="15"/>
        <v>24</v>
      </c>
      <c r="B27" s="3"/>
      <c r="C27" s="3" t="s">
        <v>16</v>
      </c>
      <c r="D27" s="3"/>
      <c r="E27" s="9">
        <v>0</v>
      </c>
      <c r="F27" s="9">
        <v>0</v>
      </c>
      <c r="G27" s="29">
        <v>0</v>
      </c>
      <c r="H27" s="9">
        <f>+'[2]Kiad-Mód'!F27</f>
        <v>0</v>
      </c>
      <c r="I27" s="9">
        <f t="shared" si="16"/>
        <v>0</v>
      </c>
      <c r="J27" s="9">
        <f>+K27-I27</f>
        <v>0</v>
      </c>
      <c r="K27" s="81">
        <v>0</v>
      </c>
      <c r="L27" s="9">
        <v>0</v>
      </c>
      <c r="M27" s="29">
        <f>K27+L27</f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565">
        <v>0</v>
      </c>
      <c r="T27" s="565">
        <v>0</v>
      </c>
      <c r="U27" s="565">
        <f t="shared" ref="U27:U30" si="32">SUM(S27:T27)</f>
        <v>0</v>
      </c>
      <c r="V27" s="565">
        <v>0</v>
      </c>
      <c r="W27" s="565">
        <f t="shared" ref="W27:W30" si="33">SUM(U27:V27)</f>
        <v>0</v>
      </c>
      <c r="X27" s="565">
        <v>0</v>
      </c>
      <c r="Y27" s="565">
        <f t="shared" ref="Y27:Y30" si="34">SUM(W27:X27)</f>
        <v>0</v>
      </c>
    </row>
    <row r="28" spans="1:25">
      <c r="A28" s="115">
        <f t="shared" si="15"/>
        <v>25</v>
      </c>
      <c r="B28" s="3"/>
      <c r="C28" s="3" t="s">
        <v>54</v>
      </c>
      <c r="D28" s="3"/>
      <c r="E28" s="9">
        <v>0</v>
      </c>
      <c r="F28" s="9">
        <v>395613</v>
      </c>
      <c r="G28" s="29">
        <v>0</v>
      </c>
      <c r="H28" s="9">
        <f>+'[2]Kiad-Mód'!F28</f>
        <v>0</v>
      </c>
      <c r="I28" s="9">
        <f t="shared" si="16"/>
        <v>0</v>
      </c>
      <c r="J28" s="9">
        <f t="shared" ref="J28:J29" si="35">+K28-I28</f>
        <v>0</v>
      </c>
      <c r="K28" s="81">
        <v>0</v>
      </c>
      <c r="L28" s="9">
        <v>0</v>
      </c>
      <c r="M28" s="29">
        <f>K28+L28</f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565">
        <v>0</v>
      </c>
      <c r="T28" s="565">
        <v>0</v>
      </c>
      <c r="U28" s="565">
        <f t="shared" si="32"/>
        <v>0</v>
      </c>
      <c r="V28" s="565">
        <v>0</v>
      </c>
      <c r="W28" s="565">
        <f t="shared" si="33"/>
        <v>0</v>
      </c>
      <c r="X28" s="565">
        <v>0</v>
      </c>
      <c r="Y28" s="565">
        <f t="shared" si="34"/>
        <v>0</v>
      </c>
    </row>
    <row r="29" spans="1:25">
      <c r="A29" s="115">
        <f t="shared" si="15"/>
        <v>26</v>
      </c>
      <c r="B29" s="3"/>
      <c r="C29" s="3" t="s">
        <v>52</v>
      </c>
      <c r="D29" s="3"/>
      <c r="E29" s="9">
        <v>23371</v>
      </c>
      <c r="F29" s="9">
        <v>23371</v>
      </c>
      <c r="G29" s="29">
        <v>25752</v>
      </c>
      <c r="H29" s="9">
        <f>+'[2]Kiad-Mód'!F29</f>
        <v>0</v>
      </c>
      <c r="I29" s="9">
        <f t="shared" si="16"/>
        <v>25752</v>
      </c>
      <c r="J29" s="9">
        <f t="shared" si="35"/>
        <v>0</v>
      </c>
      <c r="K29" s="81">
        <v>25752</v>
      </c>
      <c r="L29" s="9">
        <v>0</v>
      </c>
      <c r="M29" s="29">
        <f>K29+L29</f>
        <v>25752</v>
      </c>
      <c r="N29" s="9">
        <v>35640</v>
      </c>
      <c r="O29" s="9">
        <v>56586</v>
      </c>
      <c r="P29" s="9">
        <v>58624</v>
      </c>
      <c r="Q29" s="9">
        <v>63437</v>
      </c>
      <c r="R29" s="9">
        <v>73080</v>
      </c>
      <c r="S29" s="565">
        <v>81776</v>
      </c>
      <c r="T29" s="565">
        <v>0</v>
      </c>
      <c r="U29" s="565">
        <f t="shared" si="32"/>
        <v>81776</v>
      </c>
      <c r="V29" s="565">
        <v>0</v>
      </c>
      <c r="W29" s="565">
        <f t="shared" si="33"/>
        <v>81776</v>
      </c>
      <c r="X29" s="565">
        <v>0</v>
      </c>
      <c r="Y29" s="565">
        <f t="shared" si="34"/>
        <v>81776</v>
      </c>
    </row>
    <row r="30" spans="1:25">
      <c r="A30" s="115">
        <f t="shared" si="15"/>
        <v>27</v>
      </c>
      <c r="B30" s="3"/>
      <c r="C30" s="3" t="s">
        <v>53</v>
      </c>
      <c r="D30" s="3"/>
      <c r="E30" s="9">
        <v>1100272</v>
      </c>
      <c r="F30" s="9">
        <v>1179906</v>
      </c>
      <c r="G30" s="27">
        <v>1272087</v>
      </c>
      <c r="H30" s="9">
        <v>20668</v>
      </c>
      <c r="I30" s="9">
        <f t="shared" si="16"/>
        <v>1292755</v>
      </c>
      <c r="J30" s="9">
        <v>26367</v>
      </c>
      <c r="K30" s="81">
        <f>J30+I30</f>
        <v>1319122</v>
      </c>
      <c r="L30" s="9">
        <f>256+77+109+11+5507+724+10000+1803+9000+6429+12571</f>
        <v>46487</v>
      </c>
      <c r="M30" s="29">
        <f>K30+L30</f>
        <v>1365609</v>
      </c>
      <c r="N30" s="9">
        <v>1291231</v>
      </c>
      <c r="O30" s="9">
        <v>1325586</v>
      </c>
      <c r="P30" s="9">
        <v>1525270</v>
      </c>
      <c r="Q30" s="9">
        <v>1834121</v>
      </c>
      <c r="R30" s="9">
        <v>2145734</v>
      </c>
      <c r="S30" s="565">
        <v>2434754</v>
      </c>
      <c r="T30" s="565">
        <v>-9150</v>
      </c>
      <c r="U30" s="565">
        <f t="shared" si="32"/>
        <v>2425604</v>
      </c>
      <c r="V30" s="565">
        <v>49094</v>
      </c>
      <c r="W30" s="565">
        <f t="shared" si="33"/>
        <v>2474698</v>
      </c>
      <c r="X30" s="565">
        <v>21337</v>
      </c>
      <c r="Y30" s="565">
        <f t="shared" si="34"/>
        <v>2496035</v>
      </c>
    </row>
    <row r="31" spans="1:25" s="1" customFormat="1">
      <c r="A31" s="115">
        <f t="shared" si="15"/>
        <v>28</v>
      </c>
      <c r="B31" s="16" t="s">
        <v>19</v>
      </c>
      <c r="C31" s="16"/>
      <c r="D31" s="16"/>
      <c r="E31" s="11">
        <f>SUM(E8,E19,E26)</f>
        <v>7561149</v>
      </c>
      <c r="F31" s="11">
        <f>SUM(F8,F19,F26)</f>
        <v>12090268</v>
      </c>
      <c r="G31" s="11">
        <f>SUM(G8,G19,G26)</f>
        <v>7152508</v>
      </c>
      <c r="H31" s="11">
        <f>SUM(H8,H19,H26)</f>
        <v>723711</v>
      </c>
      <c r="I31" s="11">
        <v>7876219</v>
      </c>
      <c r="J31" s="11">
        <f>J26+J19+J8</f>
        <v>204294</v>
      </c>
      <c r="K31" s="31">
        <f>SUM(K8,K19,K26)</f>
        <v>8080513</v>
      </c>
      <c r="L31" s="31">
        <f>SUM(L8,L19,L26)</f>
        <v>226573</v>
      </c>
      <c r="M31" s="31">
        <f>SUM(M8,M19,M26)</f>
        <v>8307086</v>
      </c>
      <c r="N31" s="11">
        <f>N8+N19+N26</f>
        <v>5361749</v>
      </c>
      <c r="O31" s="111">
        <f>SUM(O26,O19,O8)</f>
        <v>5140205</v>
      </c>
      <c r="P31" s="111">
        <f>SUM(P26,P19,P8)</f>
        <v>16331484</v>
      </c>
      <c r="Q31" s="111">
        <f>SUM(Q26,Q19,Q8)</f>
        <v>11947557</v>
      </c>
      <c r="R31" s="111">
        <f>SUM(R26,R19,R8)</f>
        <v>9561064</v>
      </c>
      <c r="S31" s="122">
        <f>SUM(S26,S19,S8)</f>
        <v>7287102</v>
      </c>
      <c r="T31" s="122">
        <f t="shared" ref="T31:W31" si="36">SUM(T26,T19,T8)</f>
        <v>517598</v>
      </c>
      <c r="U31" s="122">
        <f t="shared" si="36"/>
        <v>7804700</v>
      </c>
      <c r="V31" s="122">
        <f t="shared" si="36"/>
        <v>44382</v>
      </c>
      <c r="W31" s="122">
        <f t="shared" si="36"/>
        <v>7849082</v>
      </c>
      <c r="X31" s="122">
        <f>SUM(X26,X19,X8)</f>
        <v>399995</v>
      </c>
      <c r="Y31" s="122">
        <f t="shared" ref="Y31" si="37">SUM(Y26,Y19,Y8)</f>
        <v>8249077</v>
      </c>
    </row>
    <row r="32" spans="1:25" ht="81.75" customHeight="1">
      <c r="A32" s="115">
        <f t="shared" si="15"/>
        <v>29</v>
      </c>
      <c r="B32" s="16" t="s">
        <v>546</v>
      </c>
      <c r="C32" s="3"/>
      <c r="D32" s="3"/>
      <c r="E32" s="15" t="s">
        <v>107</v>
      </c>
      <c r="F32" s="6" t="s">
        <v>113</v>
      </c>
      <c r="G32" s="25" t="s">
        <v>114</v>
      </c>
      <c r="H32" s="24" t="s">
        <v>111</v>
      </c>
      <c r="I32" s="6" t="s">
        <v>116</v>
      </c>
      <c r="J32" s="6" t="s">
        <v>111</v>
      </c>
      <c r="K32" s="76" t="s">
        <v>256</v>
      </c>
      <c r="L32" s="6" t="s">
        <v>111</v>
      </c>
      <c r="M32" s="76" t="s">
        <v>260</v>
      </c>
      <c r="N32" s="6" t="str">
        <f>N$4</f>
        <v>Előirányzat
4/2020. (III.05.) önkormányzati rendelet</v>
      </c>
      <c r="O32" s="6" t="s">
        <v>460</v>
      </c>
      <c r="P32" s="6" t="str">
        <f>P$4</f>
        <v>Előirányzat
3/2022. (II.10.) önkormányzati rendelet</v>
      </c>
      <c r="Q32" s="6" t="str">
        <f>Q$4</f>
        <v>Előirányzat
1./2023. (II.23.) önkormányzati rendelet</v>
      </c>
      <c r="R32" s="6" t="str">
        <f>R$4</f>
        <v>Előirányzat
1./2024. (II)22. önkormányzati rendelet</v>
      </c>
      <c r="S32" s="562" t="str">
        <f ca="1">S$4</f>
        <v>Előirányzat
2/2025. (II.20.) önkormányzati rendelet</v>
      </c>
      <c r="T32" s="562" t="s">
        <v>111</v>
      </c>
      <c r="U32" s="562" t="str">
        <f>U4</f>
        <v>Előirányzat 13/2025. (VI.26.) önkormányzati rendelet</v>
      </c>
      <c r="V32" s="562" t="s">
        <v>111</v>
      </c>
      <c r="W32" s="562" t="str">
        <f>W4</f>
        <v>Előirányzat 16/2025. (IX.25.) önkormányzati rendelet</v>
      </c>
      <c r="X32" s="562" t="s">
        <v>111</v>
      </c>
      <c r="Y32" s="562" t="s">
        <v>582</v>
      </c>
    </row>
    <row r="33" spans="1:25">
      <c r="A33" s="115">
        <f t="shared" si="15"/>
        <v>30</v>
      </c>
      <c r="B33" s="16" t="s">
        <v>25</v>
      </c>
      <c r="C33" s="3"/>
      <c r="D33" s="3"/>
      <c r="E33" s="9"/>
      <c r="F33" s="3"/>
      <c r="G33" s="29"/>
      <c r="H33" s="3"/>
      <c r="I33" s="3"/>
      <c r="J33" s="3"/>
      <c r="K33" s="26"/>
      <c r="L33" s="3"/>
      <c r="M33" s="26"/>
      <c r="N33" s="3"/>
      <c r="O33" s="9"/>
      <c r="P33" s="9"/>
      <c r="Q33" s="9"/>
      <c r="R33" s="9"/>
      <c r="S33" s="565"/>
      <c r="T33" s="565"/>
      <c r="U33" s="565"/>
      <c r="V33" s="565"/>
      <c r="W33" s="565"/>
      <c r="X33" s="565"/>
      <c r="Y33" s="565"/>
    </row>
    <row r="34" spans="1:25">
      <c r="A34" s="115">
        <f t="shared" si="15"/>
        <v>31</v>
      </c>
      <c r="B34" s="16"/>
      <c r="C34" s="3" t="s">
        <v>26</v>
      </c>
      <c r="D34" s="3"/>
      <c r="E34" s="9"/>
      <c r="F34" s="3"/>
      <c r="G34" s="29"/>
      <c r="H34" s="3"/>
      <c r="I34" s="3"/>
      <c r="J34" s="3"/>
      <c r="K34" s="26"/>
      <c r="L34" s="3"/>
      <c r="M34" s="26"/>
      <c r="N34" s="3"/>
      <c r="O34" s="9"/>
      <c r="P34" s="9"/>
      <c r="Q34" s="9"/>
      <c r="R34" s="9"/>
      <c r="S34" s="565"/>
      <c r="T34" s="565"/>
      <c r="U34" s="565"/>
      <c r="V34" s="565"/>
      <c r="W34" s="565"/>
      <c r="X34" s="565"/>
      <c r="Y34" s="565"/>
    </row>
    <row r="35" spans="1:25">
      <c r="A35" s="115">
        <f t="shared" si="15"/>
        <v>32</v>
      </c>
      <c r="B35" s="16" t="s">
        <v>8</v>
      </c>
      <c r="C35" s="16"/>
      <c r="D35" s="16"/>
      <c r="E35" s="11">
        <f>SUM(E40,E39,E38,E37,E36)</f>
        <v>400005</v>
      </c>
      <c r="F35" s="11">
        <f t="shared" ref="F35:G35" si="38">SUM(F40,F39,F38,F37,F36)</f>
        <v>452141</v>
      </c>
      <c r="G35" s="31">
        <f t="shared" si="38"/>
        <v>483359</v>
      </c>
      <c r="H35" s="11">
        <f>SUM(H40,H39,H38,H37,H36)</f>
        <v>8617</v>
      </c>
      <c r="I35" s="11">
        <f>SUM(I40,I39,I38,I37,I36)</f>
        <v>491976</v>
      </c>
      <c r="J35" s="11">
        <f>J36+J37+J38</f>
        <v>6385</v>
      </c>
      <c r="K35" s="82">
        <f>I35+J35</f>
        <v>498361</v>
      </c>
      <c r="L35" s="11">
        <f>L36+L37+L38</f>
        <v>36463</v>
      </c>
      <c r="M35" s="108">
        <f>+K35+L35</f>
        <v>534824</v>
      </c>
      <c r="N35" s="48">
        <f>N36+N37+N38</f>
        <v>432731</v>
      </c>
      <c r="O35" s="121">
        <f>SUM(O36:O40)</f>
        <v>453775</v>
      </c>
      <c r="P35" s="121">
        <f>SUM(P36:P40)</f>
        <v>493954</v>
      </c>
      <c r="Q35" s="121">
        <f>SUM(Q36:Q40)</f>
        <v>583675</v>
      </c>
      <c r="R35" s="121">
        <f>SUM(R36:R40)</f>
        <v>686858</v>
      </c>
      <c r="S35" s="122">
        <f>SUM(S36:S40)</f>
        <v>806477</v>
      </c>
      <c r="T35" s="122">
        <f t="shared" ref="T35:Y35" si="39">SUM(T36:T40)</f>
        <v>18191</v>
      </c>
      <c r="U35" s="122">
        <f t="shared" si="39"/>
        <v>824668</v>
      </c>
      <c r="V35" s="122">
        <f t="shared" si="39"/>
        <v>35067</v>
      </c>
      <c r="W35" s="122">
        <f t="shared" si="39"/>
        <v>859735</v>
      </c>
      <c r="X35" s="122">
        <f t="shared" si="39"/>
        <v>0</v>
      </c>
      <c r="Y35" s="122">
        <f t="shared" si="39"/>
        <v>859735</v>
      </c>
    </row>
    <row r="36" spans="1:25">
      <c r="A36" s="115">
        <f t="shared" si="15"/>
        <v>33</v>
      </c>
      <c r="B36" s="3"/>
      <c r="C36" s="3" t="s">
        <v>2</v>
      </c>
      <c r="D36" s="3"/>
      <c r="E36" s="9">
        <v>271406</v>
      </c>
      <c r="F36" s="9">
        <v>296754</v>
      </c>
      <c r="G36" s="29">
        <v>327843</v>
      </c>
      <c r="H36" s="9">
        <v>3865</v>
      </c>
      <c r="I36" s="9">
        <f>H36+G36</f>
        <v>331708</v>
      </c>
      <c r="J36" s="9">
        <v>0</v>
      </c>
      <c r="K36" s="81">
        <v>331774</v>
      </c>
      <c r="L36" s="9">
        <v>8663</v>
      </c>
      <c r="M36" s="29">
        <f>K36+L36</f>
        <v>340437</v>
      </c>
      <c r="N36" s="9">
        <v>312721</v>
      </c>
      <c r="O36" s="9">
        <v>310685</v>
      </c>
      <c r="P36" s="9">
        <v>327692</v>
      </c>
      <c r="Q36" s="9">
        <v>356959</v>
      </c>
      <c r="R36" s="9">
        <v>414456</v>
      </c>
      <c r="S36" s="565">
        <v>516703</v>
      </c>
      <c r="T36" s="565">
        <v>1635</v>
      </c>
      <c r="U36" s="565">
        <f t="shared" ref="U36:U39" si="40">SUM(S36:T36)</f>
        <v>518338</v>
      </c>
      <c r="V36" s="565">
        <v>26930</v>
      </c>
      <c r="W36" s="565">
        <f t="shared" ref="W36:W39" si="41">SUM(U36:V36)</f>
        <v>545268</v>
      </c>
      <c r="X36" s="565">
        <v>0</v>
      </c>
      <c r="Y36" s="565">
        <f t="shared" ref="Y36:Y39" si="42">SUM(W36:X36)</f>
        <v>545268</v>
      </c>
    </row>
    <row r="37" spans="1:25">
      <c r="A37" s="115">
        <f t="shared" si="15"/>
        <v>34</v>
      </c>
      <c r="B37" s="3"/>
      <c r="C37" s="3" t="s">
        <v>1</v>
      </c>
      <c r="D37" s="3"/>
      <c r="E37" s="9">
        <v>58924</v>
      </c>
      <c r="F37" s="9">
        <v>61332</v>
      </c>
      <c r="G37" s="29">
        <v>67000</v>
      </c>
      <c r="H37" s="9">
        <v>4136</v>
      </c>
      <c r="I37" s="9">
        <f t="shared" ref="I37:I39" si="43">H37+G37</f>
        <v>71136</v>
      </c>
      <c r="J37" s="9">
        <v>0</v>
      </c>
      <c r="K37" s="81">
        <v>71136</v>
      </c>
      <c r="L37" s="9">
        <v>4224</v>
      </c>
      <c r="M37" s="29">
        <f>K37+L37</f>
        <v>75360</v>
      </c>
      <c r="N37" s="9">
        <v>53511</v>
      </c>
      <c r="O37" s="9">
        <v>51150</v>
      </c>
      <c r="P37" s="9">
        <v>50326</v>
      </c>
      <c r="Q37" s="9">
        <v>54926</v>
      </c>
      <c r="R37" s="9">
        <v>61467</v>
      </c>
      <c r="S37" s="565">
        <v>76984</v>
      </c>
      <c r="T37" s="565">
        <v>219</v>
      </c>
      <c r="U37" s="565">
        <f t="shared" si="40"/>
        <v>77203</v>
      </c>
      <c r="V37" s="565">
        <v>3501</v>
      </c>
      <c r="W37" s="565">
        <f t="shared" si="41"/>
        <v>80704</v>
      </c>
      <c r="X37" s="565">
        <v>0</v>
      </c>
      <c r="Y37" s="565">
        <f t="shared" si="42"/>
        <v>80704</v>
      </c>
    </row>
    <row r="38" spans="1:25">
      <c r="A38" s="115">
        <f t="shared" si="15"/>
        <v>35</v>
      </c>
      <c r="B38" s="3"/>
      <c r="C38" s="3" t="s">
        <v>4</v>
      </c>
      <c r="D38" s="3"/>
      <c r="E38" s="9">
        <v>69675</v>
      </c>
      <c r="F38" s="9">
        <v>94019</v>
      </c>
      <c r="G38" s="29">
        <v>88516</v>
      </c>
      <c r="H38" s="9">
        <v>616</v>
      </c>
      <c r="I38" s="9">
        <f t="shared" si="43"/>
        <v>89132</v>
      </c>
      <c r="J38" s="9">
        <v>6385</v>
      </c>
      <c r="K38" s="81">
        <f>SUM(I38:J38)</f>
        <v>95517</v>
      </c>
      <c r="L38" s="9">
        <f>16076+7500</f>
        <v>23576</v>
      </c>
      <c r="M38" s="29">
        <f>K38+L38</f>
        <v>119093</v>
      </c>
      <c r="N38" s="9">
        <v>66499</v>
      </c>
      <c r="O38" s="9">
        <v>91940</v>
      </c>
      <c r="P38" s="9">
        <v>115936</v>
      </c>
      <c r="Q38" s="9">
        <v>171790</v>
      </c>
      <c r="R38" s="9">
        <v>210935</v>
      </c>
      <c r="S38" s="565">
        <v>212790</v>
      </c>
      <c r="T38" s="565">
        <v>16337</v>
      </c>
      <c r="U38" s="565">
        <f t="shared" si="40"/>
        <v>229127</v>
      </c>
      <c r="V38" s="565">
        <v>4636</v>
      </c>
      <c r="W38" s="565">
        <f t="shared" si="41"/>
        <v>233763</v>
      </c>
      <c r="X38" s="565">
        <v>0</v>
      </c>
      <c r="Y38" s="565">
        <f t="shared" si="42"/>
        <v>233763</v>
      </c>
    </row>
    <row r="39" spans="1:25">
      <c r="A39" s="115">
        <f t="shared" si="15"/>
        <v>36</v>
      </c>
      <c r="B39" s="3"/>
      <c r="C39" s="3" t="s">
        <v>3</v>
      </c>
      <c r="D39" s="3"/>
      <c r="E39" s="9">
        <v>0</v>
      </c>
      <c r="F39" s="14">
        <v>36</v>
      </c>
      <c r="G39" s="29">
        <v>0</v>
      </c>
      <c r="H39" s="9">
        <v>0</v>
      </c>
      <c r="I39" s="11">
        <f t="shared" si="43"/>
        <v>0</v>
      </c>
      <c r="J39" s="9">
        <f t="shared" ref="J39:J45" si="44">+K39-I39</f>
        <v>0</v>
      </c>
      <c r="K39" s="29">
        <v>0</v>
      </c>
      <c r="L39" s="3">
        <v>0</v>
      </c>
      <c r="M39" s="26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565">
        <v>0</v>
      </c>
      <c r="T39" s="565">
        <v>0</v>
      </c>
      <c r="U39" s="565">
        <f t="shared" si="40"/>
        <v>0</v>
      </c>
      <c r="V39" s="565">
        <v>0</v>
      </c>
      <c r="W39" s="565">
        <f t="shared" si="41"/>
        <v>0</v>
      </c>
      <c r="X39" s="565">
        <v>0</v>
      </c>
      <c r="Y39" s="565">
        <f t="shared" si="42"/>
        <v>0</v>
      </c>
    </row>
    <row r="40" spans="1:25">
      <c r="A40" s="115">
        <f t="shared" si="15"/>
        <v>37</v>
      </c>
      <c r="B40" s="3"/>
      <c r="C40" s="3" t="s">
        <v>5</v>
      </c>
      <c r="D40" s="3"/>
      <c r="E40" s="9">
        <f>SUM(E41:E45)</f>
        <v>0</v>
      </c>
      <c r="F40" s="13">
        <v>0</v>
      </c>
      <c r="G40" s="29">
        <v>0</v>
      </c>
      <c r="H40" s="9">
        <f>SUM(H41:H45)</f>
        <v>0</v>
      </c>
      <c r="I40" s="11">
        <f t="shared" ref="I40:I47" si="45">G39+H40</f>
        <v>0</v>
      </c>
      <c r="J40" s="9">
        <f t="shared" si="44"/>
        <v>0</v>
      </c>
      <c r="K40" s="29">
        <v>0</v>
      </c>
      <c r="L40" s="3">
        <v>0</v>
      </c>
      <c r="M40" s="26">
        <v>0</v>
      </c>
      <c r="N40" s="9">
        <v>0</v>
      </c>
      <c r="O40" s="120">
        <f>SUM(O41:O45)</f>
        <v>0</v>
      </c>
      <c r="P40" s="120">
        <f>SUM(P41:P45)</f>
        <v>0</v>
      </c>
      <c r="Q40" s="120">
        <f>SUM(Q41:Q45)</f>
        <v>0</v>
      </c>
      <c r="R40" s="120">
        <f>SUM(R41:R45)</f>
        <v>0</v>
      </c>
      <c r="S40" s="568">
        <f>SUM(S41:S45)</f>
        <v>0</v>
      </c>
      <c r="T40" s="568">
        <f t="shared" ref="T40:Y40" si="46">SUM(T41:T45)</f>
        <v>0</v>
      </c>
      <c r="U40" s="568">
        <f t="shared" si="46"/>
        <v>0</v>
      </c>
      <c r="V40" s="568">
        <f t="shared" si="46"/>
        <v>0</v>
      </c>
      <c r="W40" s="568">
        <f t="shared" si="46"/>
        <v>0</v>
      </c>
      <c r="X40" s="568">
        <f t="shared" si="46"/>
        <v>0</v>
      </c>
      <c r="Y40" s="568">
        <f t="shared" si="46"/>
        <v>0</v>
      </c>
    </row>
    <row r="41" spans="1:25">
      <c r="A41" s="115">
        <f t="shared" si="15"/>
        <v>38</v>
      </c>
      <c r="B41" s="3"/>
      <c r="C41" s="3"/>
      <c r="D41" s="23" t="s">
        <v>20</v>
      </c>
      <c r="E41" s="19">
        <v>0</v>
      </c>
      <c r="F41" s="13">
        <v>0</v>
      </c>
      <c r="G41" s="29">
        <v>0</v>
      </c>
      <c r="H41" s="19">
        <f>+'[2]Kiad-Mód'!F43</f>
        <v>0</v>
      </c>
      <c r="I41" s="11">
        <f t="shared" si="45"/>
        <v>0</v>
      </c>
      <c r="J41" s="9">
        <f t="shared" si="44"/>
        <v>0</v>
      </c>
      <c r="K41" s="29">
        <v>0</v>
      </c>
      <c r="L41" s="3">
        <v>0</v>
      </c>
      <c r="M41" s="26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565">
        <v>0</v>
      </c>
      <c r="T41" s="565">
        <v>0</v>
      </c>
      <c r="U41" s="565">
        <f t="shared" ref="U41:U45" si="47">SUM(S41:T41)</f>
        <v>0</v>
      </c>
      <c r="V41" s="565">
        <v>0</v>
      </c>
      <c r="W41" s="565">
        <f t="shared" ref="W41:W45" si="48">SUM(U41:V41)</f>
        <v>0</v>
      </c>
      <c r="X41" s="565">
        <v>0</v>
      </c>
      <c r="Y41" s="565">
        <f t="shared" ref="Y41:Y45" si="49">SUM(W41:X41)</f>
        <v>0</v>
      </c>
    </row>
    <row r="42" spans="1:25">
      <c r="A42" s="115">
        <f t="shared" si="15"/>
        <v>39</v>
      </c>
      <c r="B42" s="3"/>
      <c r="C42" s="3"/>
      <c r="D42" s="22" t="s">
        <v>519</v>
      </c>
      <c r="E42" s="19">
        <v>0</v>
      </c>
      <c r="F42" s="13">
        <v>0</v>
      </c>
      <c r="G42" s="29">
        <v>0</v>
      </c>
      <c r="H42" s="19">
        <f>+'[2]Kiad-Mód'!F44</f>
        <v>0</v>
      </c>
      <c r="I42" s="11">
        <f t="shared" si="45"/>
        <v>0</v>
      </c>
      <c r="J42" s="9">
        <f t="shared" si="44"/>
        <v>0</v>
      </c>
      <c r="K42" s="29">
        <v>0</v>
      </c>
      <c r="L42" s="3">
        <v>0</v>
      </c>
      <c r="M42" s="26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565">
        <v>0</v>
      </c>
      <c r="T42" s="565">
        <v>0</v>
      </c>
      <c r="U42" s="565">
        <f t="shared" si="47"/>
        <v>0</v>
      </c>
      <c r="V42" s="565">
        <v>0</v>
      </c>
      <c r="W42" s="565">
        <f t="shared" si="48"/>
        <v>0</v>
      </c>
      <c r="X42" s="565">
        <v>0</v>
      </c>
      <c r="Y42" s="565">
        <f t="shared" si="49"/>
        <v>0</v>
      </c>
    </row>
    <row r="43" spans="1:25">
      <c r="A43" s="115">
        <f t="shared" si="15"/>
        <v>40</v>
      </c>
      <c r="B43" s="3"/>
      <c r="C43" s="3"/>
      <c r="D43" s="22" t="s">
        <v>520</v>
      </c>
      <c r="E43" s="19">
        <v>0</v>
      </c>
      <c r="F43" s="13">
        <v>0</v>
      </c>
      <c r="G43" s="29">
        <v>0</v>
      </c>
      <c r="H43" s="19">
        <f>+'[2]Kiad-Mód'!F45</f>
        <v>0</v>
      </c>
      <c r="I43" s="11">
        <f t="shared" si="45"/>
        <v>0</v>
      </c>
      <c r="J43" s="9">
        <f t="shared" si="44"/>
        <v>0</v>
      </c>
      <c r="K43" s="29">
        <v>0</v>
      </c>
      <c r="L43" s="3">
        <v>0</v>
      </c>
      <c r="M43" s="26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565">
        <v>0</v>
      </c>
      <c r="T43" s="565">
        <v>0</v>
      </c>
      <c r="U43" s="565">
        <f t="shared" si="47"/>
        <v>0</v>
      </c>
      <c r="V43" s="565">
        <v>0</v>
      </c>
      <c r="W43" s="565">
        <f t="shared" si="48"/>
        <v>0</v>
      </c>
      <c r="X43" s="565">
        <v>0</v>
      </c>
      <c r="Y43" s="565">
        <f t="shared" si="49"/>
        <v>0</v>
      </c>
    </row>
    <row r="44" spans="1:25">
      <c r="A44" s="115">
        <f t="shared" si="15"/>
        <v>41</v>
      </c>
      <c r="B44" s="3"/>
      <c r="C44" s="3"/>
      <c r="D44" s="22" t="s">
        <v>6</v>
      </c>
      <c r="E44" s="19">
        <v>0</v>
      </c>
      <c r="F44" s="3">
        <v>0</v>
      </c>
      <c r="G44" s="29">
        <v>0</v>
      </c>
      <c r="H44" s="19">
        <f>+'[2]Kiad-Mód'!F46</f>
        <v>0</v>
      </c>
      <c r="I44" s="11">
        <f t="shared" si="45"/>
        <v>0</v>
      </c>
      <c r="J44" s="9">
        <f t="shared" si="44"/>
        <v>0</v>
      </c>
      <c r="K44" s="29">
        <v>0</v>
      </c>
      <c r="L44" s="3">
        <v>0</v>
      </c>
      <c r="M44" s="26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565">
        <v>0</v>
      </c>
      <c r="T44" s="565">
        <v>0</v>
      </c>
      <c r="U44" s="565">
        <f t="shared" si="47"/>
        <v>0</v>
      </c>
      <c r="V44" s="565">
        <v>0</v>
      </c>
      <c r="W44" s="565">
        <f t="shared" si="48"/>
        <v>0</v>
      </c>
      <c r="X44" s="565">
        <v>0</v>
      </c>
      <c r="Y44" s="565">
        <f t="shared" si="49"/>
        <v>0</v>
      </c>
    </row>
    <row r="45" spans="1:25">
      <c r="A45" s="115">
        <f t="shared" si="15"/>
        <v>42</v>
      </c>
      <c r="B45" s="3"/>
      <c r="C45" s="3"/>
      <c r="D45" s="22" t="s">
        <v>7</v>
      </c>
      <c r="E45" s="19">
        <v>0</v>
      </c>
      <c r="F45" s="3">
        <v>0</v>
      </c>
      <c r="G45" s="29">
        <v>0</v>
      </c>
      <c r="H45" s="19">
        <f>+'[2]Kiad-Mód'!F47</f>
        <v>0</v>
      </c>
      <c r="I45" s="11">
        <f t="shared" si="45"/>
        <v>0</v>
      </c>
      <c r="J45" s="9">
        <f t="shared" si="44"/>
        <v>0</v>
      </c>
      <c r="K45" s="29">
        <v>0</v>
      </c>
      <c r="L45" s="3">
        <v>0</v>
      </c>
      <c r="M45" s="26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565">
        <v>0</v>
      </c>
      <c r="T45" s="565">
        <v>0</v>
      </c>
      <c r="U45" s="565">
        <f t="shared" si="47"/>
        <v>0</v>
      </c>
      <c r="V45" s="565">
        <v>0</v>
      </c>
      <c r="W45" s="565">
        <f t="shared" si="48"/>
        <v>0</v>
      </c>
      <c r="X45" s="565">
        <v>0</v>
      </c>
      <c r="Y45" s="565">
        <f t="shared" si="49"/>
        <v>0</v>
      </c>
    </row>
    <row r="46" spans="1:25">
      <c r="A46" s="115">
        <f t="shared" si="15"/>
        <v>43</v>
      </c>
      <c r="B46" s="16" t="s">
        <v>9</v>
      </c>
      <c r="C46" s="16"/>
      <c r="D46" s="16"/>
      <c r="E46" s="11">
        <f>SUM(E49,E48,E47)</f>
        <v>12600</v>
      </c>
      <c r="F46" s="11">
        <f t="shared" ref="F46:G46" si="50">SUM(F49,F48,F47)</f>
        <v>16077</v>
      </c>
      <c r="G46" s="31">
        <f t="shared" si="50"/>
        <v>10000</v>
      </c>
      <c r="H46" s="11">
        <f>SUM(H49,H48,H47)</f>
        <v>5742</v>
      </c>
      <c r="I46" s="11">
        <f>G46+H46</f>
        <v>15742</v>
      </c>
      <c r="J46" s="11">
        <f>J47</f>
        <v>1600</v>
      </c>
      <c r="K46" s="82">
        <f>I46+J46</f>
        <v>17342</v>
      </c>
      <c r="L46" s="16">
        <f>L47+L48</f>
        <v>1500</v>
      </c>
      <c r="M46" s="31">
        <f>+K46+L46</f>
        <v>18842</v>
      </c>
      <c r="N46" s="11">
        <f>N47+N48+N49</f>
        <v>7500</v>
      </c>
      <c r="O46" s="121">
        <f>SUM(O47:O49)</f>
        <v>10000</v>
      </c>
      <c r="P46" s="121">
        <f>SUM(P47:P49)</f>
        <v>5000</v>
      </c>
      <c r="Q46" s="121">
        <f>SUM(Q47:Q49)</f>
        <v>35026</v>
      </c>
      <c r="R46" s="121">
        <f>SUM(R47:R49)</f>
        <v>12496</v>
      </c>
      <c r="S46" s="122">
        <f>SUM(S47:S49)</f>
        <v>14986</v>
      </c>
      <c r="T46" s="122">
        <f t="shared" ref="T46:Y46" si="51">SUM(T47:T49)</f>
        <v>0</v>
      </c>
      <c r="U46" s="122">
        <f t="shared" si="51"/>
        <v>14986</v>
      </c>
      <c r="V46" s="122">
        <f t="shared" si="51"/>
        <v>0</v>
      </c>
      <c r="W46" s="122">
        <f t="shared" si="51"/>
        <v>14986</v>
      </c>
      <c r="X46" s="122">
        <f t="shared" si="51"/>
        <v>0</v>
      </c>
      <c r="Y46" s="122">
        <f t="shared" si="51"/>
        <v>14986</v>
      </c>
    </row>
    <row r="47" spans="1:25">
      <c r="A47" s="115">
        <f t="shared" si="15"/>
        <v>44</v>
      </c>
      <c r="B47" s="3"/>
      <c r="C47" s="3" t="s">
        <v>10</v>
      </c>
      <c r="D47" s="3"/>
      <c r="E47" s="9">
        <v>12600</v>
      </c>
      <c r="F47" s="9">
        <v>16077</v>
      </c>
      <c r="G47" s="29">
        <v>10000</v>
      </c>
      <c r="H47" s="9">
        <v>5742</v>
      </c>
      <c r="I47" s="9">
        <f t="shared" si="45"/>
        <v>15742</v>
      </c>
      <c r="J47" s="9">
        <v>1600</v>
      </c>
      <c r="K47" s="81">
        <f>SUM(I47:J47)</f>
        <v>17342</v>
      </c>
      <c r="L47" s="3">
        <v>1500</v>
      </c>
      <c r="M47" s="29">
        <f>+K47+L47</f>
        <v>18842</v>
      </c>
      <c r="N47" s="9">
        <v>7500</v>
      </c>
      <c r="O47" s="9">
        <v>10000</v>
      </c>
      <c r="P47" s="9">
        <v>5000</v>
      </c>
      <c r="Q47" s="9">
        <v>35026</v>
      </c>
      <c r="R47" s="9">
        <v>12496</v>
      </c>
      <c r="S47" s="565">
        <v>14986</v>
      </c>
      <c r="T47" s="565">
        <v>0</v>
      </c>
      <c r="U47" s="565">
        <f t="shared" ref="U47:U48" si="52">SUM(S47:T47)</f>
        <v>14986</v>
      </c>
      <c r="V47" s="565">
        <v>0</v>
      </c>
      <c r="W47" s="565">
        <f t="shared" ref="W47:W48" si="53">SUM(U47:V47)</f>
        <v>14986</v>
      </c>
      <c r="X47" s="565">
        <v>0</v>
      </c>
      <c r="Y47" s="565">
        <f t="shared" ref="Y47:Y48" si="54">SUM(W47:X47)</f>
        <v>14986</v>
      </c>
    </row>
    <row r="48" spans="1:25">
      <c r="A48" s="115">
        <f t="shared" si="15"/>
        <v>45</v>
      </c>
      <c r="B48" s="3"/>
      <c r="C48" s="3" t="s">
        <v>11</v>
      </c>
      <c r="D48" s="3"/>
      <c r="E48" s="9">
        <v>0</v>
      </c>
      <c r="F48" s="3">
        <v>0</v>
      </c>
      <c r="G48" s="29">
        <v>0</v>
      </c>
      <c r="H48" s="9">
        <f>+'[2]Kiad-Mód'!F50</f>
        <v>0</v>
      </c>
      <c r="I48" s="9">
        <v>0</v>
      </c>
      <c r="J48" s="9">
        <f t="shared" ref="J48:J57" si="55">+K48-I48</f>
        <v>0</v>
      </c>
      <c r="K48" s="29">
        <v>0</v>
      </c>
      <c r="L48" s="3">
        <v>0</v>
      </c>
      <c r="M48" s="2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565">
        <v>0</v>
      </c>
      <c r="T48" s="565">
        <v>0</v>
      </c>
      <c r="U48" s="565">
        <f t="shared" si="52"/>
        <v>0</v>
      </c>
      <c r="V48" s="565">
        <v>0</v>
      </c>
      <c r="W48" s="565">
        <f t="shared" si="53"/>
        <v>0</v>
      </c>
      <c r="X48" s="565">
        <v>0</v>
      </c>
      <c r="Y48" s="565">
        <f t="shared" si="54"/>
        <v>0</v>
      </c>
    </row>
    <row r="49" spans="1:25">
      <c r="A49" s="115">
        <f t="shared" si="15"/>
        <v>46</v>
      </c>
      <c r="B49" s="3"/>
      <c r="C49" s="3" t="s">
        <v>12</v>
      </c>
      <c r="D49" s="3"/>
      <c r="E49" s="9">
        <f>SUM(E50:E52)</f>
        <v>0</v>
      </c>
      <c r="F49" s="3">
        <v>0</v>
      </c>
      <c r="G49" s="29">
        <v>0</v>
      </c>
      <c r="H49" s="9">
        <f>SUM(H50:H52)</f>
        <v>0</v>
      </c>
      <c r="I49" s="11">
        <f t="shared" ref="I49:I56" si="56">G48+H49</f>
        <v>0</v>
      </c>
      <c r="J49" s="9">
        <f t="shared" si="55"/>
        <v>0</v>
      </c>
      <c r="K49" s="29">
        <v>0</v>
      </c>
      <c r="L49" s="3">
        <v>0</v>
      </c>
      <c r="M49" s="26">
        <v>0</v>
      </c>
      <c r="N49" s="9">
        <v>0</v>
      </c>
      <c r="O49" s="120">
        <f>SUM(O50:O52)</f>
        <v>0</v>
      </c>
      <c r="P49" s="120">
        <f>SUM(P50:P52)</f>
        <v>0</v>
      </c>
      <c r="Q49" s="120">
        <f>SUM(Q50:Q52)</f>
        <v>0</v>
      </c>
      <c r="R49" s="120">
        <f>SUM(R50:R52)</f>
        <v>0</v>
      </c>
      <c r="S49" s="568">
        <f>SUM(S50:S52)</f>
        <v>0</v>
      </c>
      <c r="T49" s="568">
        <f t="shared" ref="T49:Y49" si="57">SUM(T50:T52)</f>
        <v>0</v>
      </c>
      <c r="U49" s="568">
        <f t="shared" si="57"/>
        <v>0</v>
      </c>
      <c r="V49" s="568">
        <f t="shared" si="57"/>
        <v>0</v>
      </c>
      <c r="W49" s="568">
        <f t="shared" si="57"/>
        <v>0</v>
      </c>
      <c r="X49" s="568">
        <f t="shared" si="57"/>
        <v>0</v>
      </c>
      <c r="Y49" s="568">
        <f t="shared" si="57"/>
        <v>0</v>
      </c>
    </row>
    <row r="50" spans="1:25">
      <c r="A50" s="115">
        <f t="shared" si="15"/>
        <v>47</v>
      </c>
      <c r="B50" s="3"/>
      <c r="C50" s="3"/>
      <c r="D50" s="22" t="s">
        <v>13</v>
      </c>
      <c r="E50" s="19">
        <v>0</v>
      </c>
      <c r="F50" s="3">
        <v>0</v>
      </c>
      <c r="G50" s="29">
        <v>0</v>
      </c>
      <c r="H50" s="19">
        <f>+'[2]Kiad-Mód'!F52</f>
        <v>0</v>
      </c>
      <c r="I50" s="11">
        <f t="shared" si="56"/>
        <v>0</v>
      </c>
      <c r="J50" s="9">
        <f t="shared" si="55"/>
        <v>0</v>
      </c>
      <c r="K50" s="29">
        <v>0</v>
      </c>
      <c r="L50" s="3">
        <v>0</v>
      </c>
      <c r="M50" s="26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565">
        <v>0</v>
      </c>
      <c r="T50" s="565">
        <v>0</v>
      </c>
      <c r="U50" s="565">
        <f t="shared" ref="U50:U52" si="58">SUM(S50:T50)</f>
        <v>0</v>
      </c>
      <c r="V50" s="565">
        <v>0</v>
      </c>
      <c r="W50" s="565">
        <f t="shared" ref="W50:W52" si="59">SUM(U50:V50)</f>
        <v>0</v>
      </c>
      <c r="X50" s="565">
        <v>0</v>
      </c>
      <c r="Y50" s="565">
        <f t="shared" ref="Y50:Y52" si="60">SUM(W50:X50)</f>
        <v>0</v>
      </c>
    </row>
    <row r="51" spans="1:25" ht="30">
      <c r="A51" s="115">
        <f t="shared" si="15"/>
        <v>48</v>
      </c>
      <c r="B51" s="3"/>
      <c r="C51" s="3"/>
      <c r="D51" s="18" t="s">
        <v>503</v>
      </c>
      <c r="E51" s="19">
        <v>0</v>
      </c>
      <c r="F51" s="3">
        <v>0</v>
      </c>
      <c r="G51" s="29">
        <v>0</v>
      </c>
      <c r="H51" s="19">
        <f>+'[2]Kiad-Mód'!F53</f>
        <v>0</v>
      </c>
      <c r="I51" s="11">
        <f t="shared" si="56"/>
        <v>0</v>
      </c>
      <c r="J51" s="9">
        <f t="shared" si="55"/>
        <v>0</v>
      </c>
      <c r="K51" s="29">
        <v>0</v>
      </c>
      <c r="L51" s="3">
        <v>0</v>
      </c>
      <c r="M51" s="26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565">
        <v>0</v>
      </c>
      <c r="T51" s="565">
        <v>0</v>
      </c>
      <c r="U51" s="565">
        <f t="shared" si="58"/>
        <v>0</v>
      </c>
      <c r="V51" s="565">
        <v>0</v>
      </c>
      <c r="W51" s="565">
        <f t="shared" si="59"/>
        <v>0</v>
      </c>
      <c r="X51" s="565">
        <v>0</v>
      </c>
      <c r="Y51" s="565">
        <f t="shared" si="60"/>
        <v>0</v>
      </c>
    </row>
    <row r="52" spans="1:25">
      <c r="A52" s="115">
        <f t="shared" si="15"/>
        <v>49</v>
      </c>
      <c r="B52" s="3"/>
      <c r="C52" s="3"/>
      <c r="D52" s="22" t="s">
        <v>14</v>
      </c>
      <c r="E52" s="19">
        <v>0</v>
      </c>
      <c r="F52" s="3">
        <v>0</v>
      </c>
      <c r="G52" s="29">
        <v>0</v>
      </c>
      <c r="H52" s="19">
        <f>+'[2]Kiad-Mód'!F54</f>
        <v>0</v>
      </c>
      <c r="I52" s="11">
        <f t="shared" si="56"/>
        <v>0</v>
      </c>
      <c r="J52" s="9">
        <f t="shared" si="55"/>
        <v>0</v>
      </c>
      <c r="K52" s="29">
        <v>0</v>
      </c>
      <c r="L52" s="3">
        <v>0</v>
      </c>
      <c r="M52" s="26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565">
        <v>0</v>
      </c>
      <c r="T52" s="565">
        <v>0</v>
      </c>
      <c r="U52" s="565">
        <f t="shared" si="58"/>
        <v>0</v>
      </c>
      <c r="V52" s="565">
        <v>0</v>
      </c>
      <c r="W52" s="565">
        <f t="shared" si="59"/>
        <v>0</v>
      </c>
      <c r="X52" s="565">
        <v>0</v>
      </c>
      <c r="Y52" s="565">
        <f t="shared" si="60"/>
        <v>0</v>
      </c>
    </row>
    <row r="53" spans="1:25">
      <c r="A53" s="115">
        <f t="shared" si="15"/>
        <v>50</v>
      </c>
      <c r="B53" s="16" t="s">
        <v>15</v>
      </c>
      <c r="C53" s="16"/>
      <c r="D53" s="16"/>
      <c r="E53" s="11">
        <f>SUM(E54:E56)</f>
        <v>0</v>
      </c>
      <c r="F53" s="3">
        <v>0</v>
      </c>
      <c r="G53" s="29">
        <v>0</v>
      </c>
      <c r="H53" s="11">
        <f>SUM(H54:H56)</f>
        <v>0</v>
      </c>
      <c r="I53" s="11">
        <f t="shared" si="56"/>
        <v>0</v>
      </c>
      <c r="J53" s="9">
        <f t="shared" si="55"/>
        <v>0</v>
      </c>
      <c r="K53" s="29">
        <v>0</v>
      </c>
      <c r="L53" s="3">
        <v>0</v>
      </c>
      <c r="M53" s="26">
        <v>0</v>
      </c>
      <c r="N53" s="9">
        <v>0</v>
      </c>
      <c r="O53" s="121">
        <f>SUM(O54:O56)</f>
        <v>0</v>
      </c>
      <c r="P53" s="121">
        <f>SUM(P54:P56)</f>
        <v>0</v>
      </c>
      <c r="Q53" s="121">
        <f>SUM(Q54:Q56)</f>
        <v>0</v>
      </c>
      <c r="R53" s="121">
        <f>SUM(R54:R56)</f>
        <v>0</v>
      </c>
      <c r="S53" s="122">
        <f>SUM(S54:S56)</f>
        <v>0</v>
      </c>
      <c r="T53" s="122">
        <f t="shared" ref="T53:Y53" si="61">SUM(T54:T56)</f>
        <v>0</v>
      </c>
      <c r="U53" s="122">
        <f t="shared" si="61"/>
        <v>0</v>
      </c>
      <c r="V53" s="122">
        <f t="shared" si="61"/>
        <v>0</v>
      </c>
      <c r="W53" s="122">
        <f t="shared" si="61"/>
        <v>0</v>
      </c>
      <c r="X53" s="122">
        <f t="shared" si="61"/>
        <v>0</v>
      </c>
      <c r="Y53" s="122">
        <f t="shared" si="61"/>
        <v>0</v>
      </c>
    </row>
    <row r="54" spans="1:25">
      <c r="A54" s="115">
        <f t="shared" si="15"/>
        <v>51</v>
      </c>
      <c r="B54" s="3"/>
      <c r="C54" s="3" t="s">
        <v>16</v>
      </c>
      <c r="D54" s="3"/>
      <c r="E54" s="9">
        <v>0</v>
      </c>
      <c r="F54" s="3">
        <v>0</v>
      </c>
      <c r="G54" s="29">
        <v>0</v>
      </c>
      <c r="H54" s="9">
        <f>+'[2]Kiad-Mód'!F56</f>
        <v>0</v>
      </c>
      <c r="I54" s="11">
        <f t="shared" si="56"/>
        <v>0</v>
      </c>
      <c r="J54" s="9">
        <f t="shared" si="55"/>
        <v>0</v>
      </c>
      <c r="K54" s="29">
        <v>0</v>
      </c>
      <c r="L54" s="3">
        <v>0</v>
      </c>
      <c r="M54" s="26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565">
        <v>0</v>
      </c>
      <c r="T54" s="565">
        <v>0</v>
      </c>
      <c r="U54" s="565">
        <f t="shared" ref="U54:U56" si="62">SUM(S54:T54)</f>
        <v>0</v>
      </c>
      <c r="V54" s="565">
        <v>0</v>
      </c>
      <c r="W54" s="565">
        <f t="shared" ref="W54:W56" si="63">SUM(U54:V54)</f>
        <v>0</v>
      </c>
      <c r="X54" s="565">
        <v>0</v>
      </c>
      <c r="Y54" s="565">
        <f t="shared" ref="Y54:Y56" si="64">SUM(W54:X54)</f>
        <v>0</v>
      </c>
    </row>
    <row r="55" spans="1:25">
      <c r="A55" s="115">
        <f t="shared" si="15"/>
        <v>52</v>
      </c>
      <c r="B55" s="3"/>
      <c r="C55" s="3" t="s">
        <v>17</v>
      </c>
      <c r="D55" s="3"/>
      <c r="E55" s="9">
        <v>0</v>
      </c>
      <c r="F55" s="3">
        <v>0</v>
      </c>
      <c r="G55" s="29">
        <v>0</v>
      </c>
      <c r="H55" s="9">
        <f>+'[2]Kiad-Mód'!F57</f>
        <v>0</v>
      </c>
      <c r="I55" s="11">
        <f t="shared" si="56"/>
        <v>0</v>
      </c>
      <c r="J55" s="9">
        <f t="shared" si="55"/>
        <v>0</v>
      </c>
      <c r="K55" s="29">
        <v>0</v>
      </c>
      <c r="L55" s="3">
        <v>0</v>
      </c>
      <c r="M55" s="26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565">
        <v>0</v>
      </c>
      <c r="T55" s="565">
        <v>0</v>
      </c>
      <c r="U55" s="565">
        <f t="shared" si="62"/>
        <v>0</v>
      </c>
      <c r="V55" s="565">
        <v>0</v>
      </c>
      <c r="W55" s="565">
        <f t="shared" si="63"/>
        <v>0</v>
      </c>
      <c r="X55" s="565">
        <v>0</v>
      </c>
      <c r="Y55" s="565">
        <f t="shared" si="64"/>
        <v>0</v>
      </c>
    </row>
    <row r="56" spans="1:25">
      <c r="A56" s="115">
        <f t="shared" si="15"/>
        <v>53</v>
      </c>
      <c r="B56" s="3"/>
      <c r="C56" s="3" t="s">
        <v>18</v>
      </c>
      <c r="D56" s="3"/>
      <c r="E56" s="9">
        <v>0</v>
      </c>
      <c r="F56" s="3">
        <v>0</v>
      </c>
      <c r="G56" s="29">
        <v>0</v>
      </c>
      <c r="H56" s="9">
        <f>+'[2]Kiad-Mód'!F58</f>
        <v>0</v>
      </c>
      <c r="I56" s="11">
        <f t="shared" si="56"/>
        <v>0</v>
      </c>
      <c r="J56" s="9">
        <f t="shared" si="55"/>
        <v>0</v>
      </c>
      <c r="K56" s="29">
        <v>0</v>
      </c>
      <c r="L56" s="3">
        <v>0</v>
      </c>
      <c r="M56" s="26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565">
        <v>0</v>
      </c>
      <c r="T56" s="565">
        <v>0</v>
      </c>
      <c r="U56" s="565">
        <f t="shared" si="62"/>
        <v>0</v>
      </c>
      <c r="V56" s="565">
        <v>0</v>
      </c>
      <c r="W56" s="565">
        <f t="shared" si="63"/>
        <v>0</v>
      </c>
      <c r="X56" s="565">
        <v>0</v>
      </c>
      <c r="Y56" s="565">
        <f t="shared" si="64"/>
        <v>0</v>
      </c>
    </row>
    <row r="57" spans="1:25">
      <c r="A57" s="115">
        <f t="shared" si="15"/>
        <v>54</v>
      </c>
      <c r="B57" s="16" t="s">
        <v>19</v>
      </c>
      <c r="C57" s="16"/>
      <c r="D57" s="16"/>
      <c r="E57" s="11">
        <f>SUM(E35,E46,E53)</f>
        <v>412605</v>
      </c>
      <c r="F57" s="11">
        <f t="shared" ref="F57" si="65">SUM(F35,F46,F53)</f>
        <v>468218</v>
      </c>
      <c r="G57" s="31">
        <f>SUM(G35,G46,G53)</f>
        <v>493359</v>
      </c>
      <c r="H57" s="11">
        <f>SUM(H35,H46,H53)</f>
        <v>14359</v>
      </c>
      <c r="I57" s="11">
        <f>H57+G57</f>
        <v>507718</v>
      </c>
      <c r="J57" s="11">
        <f t="shared" si="55"/>
        <v>7985</v>
      </c>
      <c r="K57" s="82">
        <f>+K46+K35</f>
        <v>515703</v>
      </c>
      <c r="L57" s="11">
        <f>L46+L35</f>
        <v>37963</v>
      </c>
      <c r="M57" s="31">
        <f>+K57+L57</f>
        <v>553666</v>
      </c>
      <c r="N57" s="48">
        <f>N46+N35</f>
        <v>440231</v>
      </c>
      <c r="O57" s="122">
        <f>SUM(O53,O46,O35)</f>
        <v>463775</v>
      </c>
      <c r="P57" s="122">
        <f>SUM(P53,P46,P35)</f>
        <v>498954</v>
      </c>
      <c r="Q57" s="122">
        <f>SUM(Q53,Q46,Q35)</f>
        <v>618701</v>
      </c>
      <c r="R57" s="122">
        <f>SUM(R53,R46,R35)</f>
        <v>699354</v>
      </c>
      <c r="S57" s="122">
        <f>SUM(S53,S46,S35)</f>
        <v>821463</v>
      </c>
      <c r="T57" s="122">
        <f t="shared" ref="T57:Y57" si="66">SUM(T53,T46,T35)</f>
        <v>18191</v>
      </c>
      <c r="U57" s="122">
        <f t="shared" si="66"/>
        <v>839654</v>
      </c>
      <c r="V57" s="122">
        <f t="shared" si="66"/>
        <v>35067</v>
      </c>
      <c r="W57" s="122">
        <f t="shared" si="66"/>
        <v>874721</v>
      </c>
      <c r="X57" s="122">
        <f t="shared" si="66"/>
        <v>0</v>
      </c>
      <c r="Y57" s="122">
        <f t="shared" si="66"/>
        <v>874721</v>
      </c>
    </row>
    <row r="58" spans="1:25" ht="90.75" customHeight="1">
      <c r="A58" s="115">
        <f t="shared" si="15"/>
        <v>55</v>
      </c>
      <c r="B58" s="16" t="s">
        <v>21</v>
      </c>
      <c r="C58" s="3"/>
      <c r="D58" s="3"/>
      <c r="E58" s="15" t="s">
        <v>107</v>
      </c>
      <c r="F58" s="6" t="s">
        <v>113</v>
      </c>
      <c r="G58" s="25" t="s">
        <v>114</v>
      </c>
      <c r="H58" s="24" t="s">
        <v>111</v>
      </c>
      <c r="I58" s="6" t="s">
        <v>116</v>
      </c>
      <c r="J58" s="6" t="s">
        <v>111</v>
      </c>
      <c r="K58" s="76" t="s">
        <v>256</v>
      </c>
      <c r="L58" s="6" t="s">
        <v>111</v>
      </c>
      <c r="M58" s="76" t="s">
        <v>260</v>
      </c>
      <c r="N58" s="6" t="str">
        <f t="shared" ref="N58:R58" si="67">N$4</f>
        <v>Előirányzat
4/2020. (III.05.) önkormányzati rendelet</v>
      </c>
      <c r="O58" s="6" t="str">
        <f t="shared" si="67"/>
        <v>Előirányzat
 5./2021. (II.25.) polgármesteri rendelet</v>
      </c>
      <c r="P58" s="6" t="str">
        <f t="shared" si="67"/>
        <v>Előirányzat
3/2022. (II.10.) önkormányzati rendelet</v>
      </c>
      <c r="Q58" s="6" t="str">
        <f t="shared" si="67"/>
        <v>Előirányzat
1./2023. (II.23.) önkormányzati rendelet</v>
      </c>
      <c r="R58" s="6" t="str">
        <f t="shared" si="67"/>
        <v>Előirányzat
1./2024. (II)22. önkormányzati rendelet</v>
      </c>
      <c r="S58" s="562" t="str">
        <f ca="1">S$4</f>
        <v>Előirányzat
2/2025. (II.20.) önkormányzati rendelet</v>
      </c>
      <c r="T58" s="562" t="s">
        <v>111</v>
      </c>
      <c r="U58" s="562" t="str">
        <f>U4</f>
        <v>Előirányzat 13/2025. (VI.26.) önkormányzati rendelet</v>
      </c>
      <c r="V58" s="562" t="s">
        <v>111</v>
      </c>
      <c r="W58" s="562" t="str">
        <f>W4</f>
        <v>Előirányzat 16/2025. (IX.25.) önkormányzati rendelet</v>
      </c>
      <c r="X58" s="562" t="s">
        <v>111</v>
      </c>
      <c r="Y58" s="562" t="s">
        <v>582</v>
      </c>
    </row>
    <row r="59" spans="1:25">
      <c r="A59" s="115">
        <f t="shared" si="15"/>
        <v>56</v>
      </c>
      <c r="B59" s="16" t="s">
        <v>25</v>
      </c>
      <c r="C59" s="3"/>
      <c r="D59" s="3"/>
      <c r="E59" s="9"/>
      <c r="F59" s="3"/>
      <c r="G59" s="29"/>
      <c r="H59" s="3"/>
      <c r="I59" s="3"/>
      <c r="J59" s="3"/>
      <c r="K59" s="26"/>
      <c r="L59" s="3"/>
      <c r="M59" s="26"/>
      <c r="N59" s="3"/>
      <c r="O59" s="9"/>
      <c r="P59" s="9"/>
      <c r="Q59" s="9"/>
      <c r="R59" s="9"/>
      <c r="S59" s="565"/>
      <c r="T59" s="565"/>
      <c r="U59" s="565"/>
      <c r="V59" s="565"/>
      <c r="W59" s="565"/>
      <c r="X59" s="565"/>
      <c r="Y59" s="565"/>
    </row>
    <row r="60" spans="1:25">
      <c r="A60" s="115">
        <f t="shared" si="15"/>
        <v>57</v>
      </c>
      <c r="B60" s="16"/>
      <c r="C60" s="3" t="s">
        <v>26</v>
      </c>
      <c r="D60" s="3"/>
      <c r="E60" s="9"/>
      <c r="F60" s="3"/>
      <c r="G60" s="29"/>
      <c r="H60" s="3"/>
      <c r="I60" s="3"/>
      <c r="J60" s="9"/>
      <c r="K60" s="29"/>
      <c r="L60" s="3"/>
      <c r="M60" s="26"/>
      <c r="N60" s="3"/>
      <c r="O60" s="9"/>
      <c r="P60" s="9"/>
      <c r="Q60" s="9"/>
      <c r="R60" s="9"/>
      <c r="S60" s="565"/>
      <c r="T60" s="565"/>
      <c r="U60" s="565"/>
      <c r="V60" s="565"/>
      <c r="W60" s="565"/>
      <c r="X60" s="565"/>
      <c r="Y60" s="565"/>
    </row>
    <row r="61" spans="1:25">
      <c r="A61" s="115">
        <f t="shared" si="15"/>
        <v>58</v>
      </c>
      <c r="B61" s="16" t="s">
        <v>8</v>
      </c>
      <c r="C61" s="16"/>
      <c r="D61" s="16"/>
      <c r="E61" s="11">
        <f>SUM(E66,E65,E64,E63,E62)</f>
        <v>303208</v>
      </c>
      <c r="F61" s="11">
        <f t="shared" ref="F61:G61" si="68">SUM(F66,F65,F64,F63,F62)</f>
        <v>308312</v>
      </c>
      <c r="G61" s="31">
        <f t="shared" si="68"/>
        <v>322382</v>
      </c>
      <c r="H61" s="11">
        <f>H62+H63+H64</f>
        <v>1416</v>
      </c>
      <c r="I61" s="11">
        <f>H61+G61</f>
        <v>323798</v>
      </c>
      <c r="J61" s="11">
        <f>J62+J63</f>
        <v>973</v>
      </c>
      <c r="K61" s="31">
        <f>J61+I61</f>
        <v>324771</v>
      </c>
      <c r="L61" s="3">
        <f>L62+L63</f>
        <v>109</v>
      </c>
      <c r="M61" s="31">
        <f>K61+L61</f>
        <v>324880</v>
      </c>
      <c r="N61" s="11">
        <f>N62+N63+N64</f>
        <v>336000</v>
      </c>
      <c r="O61" s="121">
        <f>SUM(O62:O66)</f>
        <v>386873</v>
      </c>
      <c r="P61" s="121">
        <f>SUM(P62:P66)</f>
        <v>394562</v>
      </c>
      <c r="Q61" s="121">
        <f>SUM(Q62:Q66)</f>
        <v>457521</v>
      </c>
      <c r="R61" s="121">
        <f>SUM(R62:R66)</f>
        <v>581664</v>
      </c>
      <c r="S61" s="122">
        <f>SUM(S62:S66)</f>
        <v>731635</v>
      </c>
      <c r="T61" s="122">
        <f t="shared" ref="T61:Y61" si="69">SUM(T62:T66)</f>
        <v>-41143</v>
      </c>
      <c r="U61" s="122">
        <f t="shared" si="69"/>
        <v>690492</v>
      </c>
      <c r="V61" s="122">
        <f t="shared" si="69"/>
        <v>5936</v>
      </c>
      <c r="W61" s="122">
        <f t="shared" si="69"/>
        <v>696428</v>
      </c>
      <c r="X61" s="122">
        <f t="shared" si="69"/>
        <v>7707</v>
      </c>
      <c r="Y61" s="122">
        <f t="shared" si="69"/>
        <v>704135</v>
      </c>
    </row>
    <row r="62" spans="1:25">
      <c r="A62" s="115">
        <f t="shared" si="15"/>
        <v>59</v>
      </c>
      <c r="B62" s="3"/>
      <c r="C62" s="3" t="s">
        <v>2</v>
      </c>
      <c r="D62" s="3"/>
      <c r="E62" s="9">
        <v>229273</v>
      </c>
      <c r="F62" s="9">
        <v>236313</v>
      </c>
      <c r="G62" s="29">
        <v>241981</v>
      </c>
      <c r="H62" s="9">
        <v>729</v>
      </c>
      <c r="I62" s="9">
        <f t="shared" ref="I62:I83" si="70">H62+G62</f>
        <v>242710</v>
      </c>
      <c r="J62" s="9">
        <v>852</v>
      </c>
      <c r="K62" s="29">
        <f t="shared" ref="K62:K63" si="71">J62+I62</f>
        <v>243562</v>
      </c>
      <c r="L62" s="3">
        <v>93</v>
      </c>
      <c r="M62" s="29">
        <f>K62+L62</f>
        <v>243655</v>
      </c>
      <c r="N62" s="9">
        <v>259311</v>
      </c>
      <c r="O62" s="9">
        <v>308500</v>
      </c>
      <c r="P62" s="9">
        <v>321619</v>
      </c>
      <c r="Q62" s="9">
        <v>357320</v>
      </c>
      <c r="R62" s="9">
        <v>442606</v>
      </c>
      <c r="S62" s="565">
        <v>566621</v>
      </c>
      <c r="T62" s="565">
        <v>-24719</v>
      </c>
      <c r="U62" s="565">
        <f t="shared" ref="U62:U65" si="72">SUM(S62:T62)</f>
        <v>541902</v>
      </c>
      <c r="V62" s="565">
        <v>4021</v>
      </c>
      <c r="W62" s="565">
        <f t="shared" ref="W62:W65" si="73">SUM(U62:V62)</f>
        <v>545923</v>
      </c>
      <c r="X62" s="565">
        <v>5869</v>
      </c>
      <c r="Y62" s="565">
        <f t="shared" ref="Y62:Y65" si="74">SUM(W62:X62)</f>
        <v>551792</v>
      </c>
    </row>
    <row r="63" spans="1:25">
      <c r="A63" s="115">
        <f t="shared" si="15"/>
        <v>60</v>
      </c>
      <c r="B63" s="3"/>
      <c r="C63" s="3" t="s">
        <v>1</v>
      </c>
      <c r="D63" s="3"/>
      <c r="E63" s="9">
        <v>48290</v>
      </c>
      <c r="F63" s="9">
        <v>50543</v>
      </c>
      <c r="G63" s="29">
        <v>53118</v>
      </c>
      <c r="H63" s="9">
        <v>71</v>
      </c>
      <c r="I63" s="9">
        <f t="shared" si="70"/>
        <v>53189</v>
      </c>
      <c r="J63" s="9">
        <v>121</v>
      </c>
      <c r="K63" s="29">
        <f t="shared" si="71"/>
        <v>53310</v>
      </c>
      <c r="L63" s="3">
        <v>16</v>
      </c>
      <c r="M63" s="29">
        <f>K63+L63</f>
        <v>53326</v>
      </c>
      <c r="N63" s="9">
        <v>52364</v>
      </c>
      <c r="O63" s="9">
        <v>52734</v>
      </c>
      <c r="P63" s="9">
        <v>46033</v>
      </c>
      <c r="Q63" s="9">
        <v>55958</v>
      </c>
      <c r="R63" s="9">
        <v>66932</v>
      </c>
      <c r="S63" s="565">
        <v>85355</v>
      </c>
      <c r="T63" s="565">
        <v>-3211</v>
      </c>
      <c r="U63" s="565">
        <f t="shared" si="72"/>
        <v>82144</v>
      </c>
      <c r="V63" s="565">
        <v>494</v>
      </c>
      <c r="W63" s="565">
        <f t="shared" si="73"/>
        <v>82638</v>
      </c>
      <c r="X63" s="565">
        <v>735</v>
      </c>
      <c r="Y63" s="565">
        <f t="shared" si="74"/>
        <v>83373</v>
      </c>
    </row>
    <row r="64" spans="1:25">
      <c r="A64" s="115">
        <f t="shared" si="15"/>
        <v>61</v>
      </c>
      <c r="B64" s="3"/>
      <c r="C64" s="3" t="s">
        <v>4</v>
      </c>
      <c r="D64" s="3"/>
      <c r="E64" s="9">
        <v>25645</v>
      </c>
      <c r="F64" s="9">
        <v>21456</v>
      </c>
      <c r="G64" s="29">
        <v>27283</v>
      </c>
      <c r="H64" s="9">
        <v>616</v>
      </c>
      <c r="I64" s="9">
        <f t="shared" si="70"/>
        <v>27899</v>
      </c>
      <c r="J64" s="9">
        <v>0</v>
      </c>
      <c r="K64" s="29">
        <f>I64</f>
        <v>27899</v>
      </c>
      <c r="L64" s="3">
        <v>0</v>
      </c>
      <c r="M64" s="26">
        <v>27899</v>
      </c>
      <c r="N64" s="9">
        <v>24325</v>
      </c>
      <c r="O64" s="9">
        <v>25639</v>
      </c>
      <c r="P64" s="9">
        <v>26910</v>
      </c>
      <c r="Q64" s="9">
        <v>44243</v>
      </c>
      <c r="R64" s="9">
        <v>72126</v>
      </c>
      <c r="S64" s="565">
        <v>79659</v>
      </c>
      <c r="T64" s="565">
        <v>-13213</v>
      </c>
      <c r="U64" s="565">
        <f t="shared" si="72"/>
        <v>66446</v>
      </c>
      <c r="V64" s="565">
        <v>1421</v>
      </c>
      <c r="W64" s="565">
        <f t="shared" si="73"/>
        <v>67867</v>
      </c>
      <c r="X64" s="565">
        <v>1103</v>
      </c>
      <c r="Y64" s="565">
        <f t="shared" si="74"/>
        <v>68970</v>
      </c>
    </row>
    <row r="65" spans="1:25">
      <c r="A65" s="115">
        <f t="shared" si="15"/>
        <v>62</v>
      </c>
      <c r="B65" s="3"/>
      <c r="C65" s="3" t="s">
        <v>3</v>
      </c>
      <c r="D65" s="3"/>
      <c r="E65" s="9">
        <v>0</v>
      </c>
      <c r="F65" s="3">
        <v>0</v>
      </c>
      <c r="G65" s="29">
        <v>0</v>
      </c>
      <c r="H65" s="9">
        <f>+'[2]Kiad-Mód'!F69</f>
        <v>0</v>
      </c>
      <c r="I65" s="9">
        <f t="shared" si="70"/>
        <v>0</v>
      </c>
      <c r="J65" s="9">
        <v>0</v>
      </c>
      <c r="K65" s="29">
        <v>0</v>
      </c>
      <c r="L65" s="3">
        <v>0</v>
      </c>
      <c r="M65" s="26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565">
        <v>0</v>
      </c>
      <c r="T65" s="565">
        <v>0</v>
      </c>
      <c r="U65" s="565">
        <f t="shared" si="72"/>
        <v>0</v>
      </c>
      <c r="V65" s="565">
        <v>0</v>
      </c>
      <c r="W65" s="565">
        <f t="shared" si="73"/>
        <v>0</v>
      </c>
      <c r="X65" s="565">
        <v>0</v>
      </c>
      <c r="Y65" s="565">
        <f t="shared" si="74"/>
        <v>0</v>
      </c>
    </row>
    <row r="66" spans="1:25">
      <c r="A66" s="115">
        <f t="shared" si="15"/>
        <v>63</v>
      </c>
      <c r="B66" s="3"/>
      <c r="C66" s="3" t="s">
        <v>5</v>
      </c>
      <c r="D66" s="3"/>
      <c r="E66" s="9">
        <f>SUM(E67:E71)</f>
        <v>0</v>
      </c>
      <c r="F66" s="3">
        <v>0</v>
      </c>
      <c r="G66" s="29">
        <v>0</v>
      </c>
      <c r="H66" s="9">
        <f>SUM(H67:H71)</f>
        <v>0</v>
      </c>
      <c r="I66" s="9">
        <f t="shared" si="70"/>
        <v>0</v>
      </c>
      <c r="J66" s="9">
        <v>0</v>
      </c>
      <c r="K66" s="29">
        <v>0</v>
      </c>
      <c r="L66" s="3">
        <v>0</v>
      </c>
      <c r="M66" s="26">
        <v>0</v>
      </c>
      <c r="N66" s="9">
        <v>0</v>
      </c>
      <c r="O66" s="120">
        <f>SUM(O67:O71)</f>
        <v>0</v>
      </c>
      <c r="P66" s="120">
        <f>SUM(P67:P71)</f>
        <v>0</v>
      </c>
      <c r="Q66" s="120">
        <f>SUM(Q67:Q71)</f>
        <v>0</v>
      </c>
      <c r="R66" s="120">
        <f>SUM(R67:R71)</f>
        <v>0</v>
      </c>
      <c r="S66" s="568">
        <f>SUM(S67:S71)</f>
        <v>0</v>
      </c>
      <c r="T66" s="568">
        <f t="shared" ref="T66:Y66" si="75">SUM(T67:T71)</f>
        <v>0</v>
      </c>
      <c r="U66" s="568">
        <f t="shared" si="75"/>
        <v>0</v>
      </c>
      <c r="V66" s="568">
        <f t="shared" si="75"/>
        <v>0</v>
      </c>
      <c r="W66" s="568">
        <f t="shared" si="75"/>
        <v>0</v>
      </c>
      <c r="X66" s="568">
        <f t="shared" si="75"/>
        <v>0</v>
      </c>
      <c r="Y66" s="568">
        <f t="shared" si="75"/>
        <v>0</v>
      </c>
    </row>
    <row r="67" spans="1:25">
      <c r="A67" s="115">
        <f t="shared" si="15"/>
        <v>64</v>
      </c>
      <c r="B67" s="3"/>
      <c r="C67" s="3"/>
      <c r="D67" s="23" t="s">
        <v>20</v>
      </c>
      <c r="E67" s="19">
        <v>0</v>
      </c>
      <c r="F67" s="3">
        <v>0</v>
      </c>
      <c r="G67" s="29">
        <v>0</v>
      </c>
      <c r="H67" s="19">
        <f>+'[2]Kiad-Mód'!F71</f>
        <v>0</v>
      </c>
      <c r="I67" s="9">
        <f t="shared" si="70"/>
        <v>0</v>
      </c>
      <c r="J67" s="9">
        <v>0</v>
      </c>
      <c r="K67" s="29">
        <v>0</v>
      </c>
      <c r="L67" s="3">
        <v>0</v>
      </c>
      <c r="M67" s="26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565">
        <v>0</v>
      </c>
      <c r="T67" s="565">
        <v>0</v>
      </c>
      <c r="U67" s="565">
        <f t="shared" ref="U67:U71" si="76">SUM(S67:T67)</f>
        <v>0</v>
      </c>
      <c r="V67" s="565">
        <v>0</v>
      </c>
      <c r="W67" s="565">
        <f t="shared" ref="W67:W71" si="77">SUM(U67:V67)</f>
        <v>0</v>
      </c>
      <c r="X67" s="565">
        <v>0</v>
      </c>
      <c r="Y67" s="565">
        <f t="shared" ref="Y67:Y71" si="78">SUM(W67:X67)</f>
        <v>0</v>
      </c>
    </row>
    <row r="68" spans="1:25">
      <c r="A68" s="115">
        <f t="shared" si="15"/>
        <v>65</v>
      </c>
      <c r="B68" s="3"/>
      <c r="C68" s="3"/>
      <c r="D68" s="22" t="s">
        <v>519</v>
      </c>
      <c r="E68" s="19">
        <v>0</v>
      </c>
      <c r="F68" s="3">
        <v>0</v>
      </c>
      <c r="G68" s="29">
        <v>0</v>
      </c>
      <c r="H68" s="19">
        <f>+'[2]Kiad-Mód'!F72</f>
        <v>0</v>
      </c>
      <c r="I68" s="9">
        <f t="shared" si="70"/>
        <v>0</v>
      </c>
      <c r="J68" s="9">
        <v>0</v>
      </c>
      <c r="K68" s="29">
        <v>0</v>
      </c>
      <c r="L68" s="3">
        <v>0</v>
      </c>
      <c r="M68" s="26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565">
        <v>0</v>
      </c>
      <c r="T68" s="565">
        <v>0</v>
      </c>
      <c r="U68" s="565">
        <f t="shared" si="76"/>
        <v>0</v>
      </c>
      <c r="V68" s="565">
        <v>0</v>
      </c>
      <c r="W68" s="565">
        <f t="shared" si="77"/>
        <v>0</v>
      </c>
      <c r="X68" s="565">
        <v>0</v>
      </c>
      <c r="Y68" s="565">
        <f t="shared" si="78"/>
        <v>0</v>
      </c>
    </row>
    <row r="69" spans="1:25">
      <c r="A69" s="115">
        <f t="shared" si="15"/>
        <v>66</v>
      </c>
      <c r="B69" s="3"/>
      <c r="C69" s="3"/>
      <c r="D69" s="22" t="s">
        <v>520</v>
      </c>
      <c r="E69" s="19">
        <v>0</v>
      </c>
      <c r="F69" s="3">
        <v>0</v>
      </c>
      <c r="G69" s="29">
        <v>0</v>
      </c>
      <c r="H69" s="19">
        <f>+'[2]Kiad-Mód'!F73</f>
        <v>0</v>
      </c>
      <c r="I69" s="9">
        <f t="shared" si="70"/>
        <v>0</v>
      </c>
      <c r="J69" s="9">
        <v>0</v>
      </c>
      <c r="K69" s="29">
        <v>0</v>
      </c>
      <c r="L69" s="3">
        <v>0</v>
      </c>
      <c r="M69" s="26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565">
        <v>0</v>
      </c>
      <c r="T69" s="565">
        <v>0</v>
      </c>
      <c r="U69" s="565">
        <f t="shared" si="76"/>
        <v>0</v>
      </c>
      <c r="V69" s="565">
        <v>0</v>
      </c>
      <c r="W69" s="565">
        <f t="shared" si="77"/>
        <v>0</v>
      </c>
      <c r="X69" s="565">
        <v>0</v>
      </c>
      <c r="Y69" s="565">
        <f t="shared" si="78"/>
        <v>0</v>
      </c>
    </row>
    <row r="70" spans="1:25">
      <c r="A70" s="115">
        <f t="shared" si="15"/>
        <v>67</v>
      </c>
      <c r="B70" s="3"/>
      <c r="C70" s="3"/>
      <c r="D70" s="22" t="s">
        <v>6</v>
      </c>
      <c r="E70" s="19">
        <v>0</v>
      </c>
      <c r="F70" s="3">
        <v>0</v>
      </c>
      <c r="G70" s="29">
        <v>0</v>
      </c>
      <c r="H70" s="19">
        <f>+'[2]Kiad-Mód'!F74</f>
        <v>0</v>
      </c>
      <c r="I70" s="9">
        <f t="shared" si="70"/>
        <v>0</v>
      </c>
      <c r="J70" s="9">
        <v>0</v>
      </c>
      <c r="K70" s="29">
        <v>0</v>
      </c>
      <c r="L70" s="3">
        <v>0</v>
      </c>
      <c r="M70" s="26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565">
        <v>0</v>
      </c>
      <c r="T70" s="565">
        <v>0</v>
      </c>
      <c r="U70" s="565">
        <f t="shared" si="76"/>
        <v>0</v>
      </c>
      <c r="V70" s="565">
        <v>0</v>
      </c>
      <c r="W70" s="565">
        <f t="shared" si="77"/>
        <v>0</v>
      </c>
      <c r="X70" s="565">
        <v>0</v>
      </c>
      <c r="Y70" s="565">
        <f t="shared" si="78"/>
        <v>0</v>
      </c>
    </row>
    <row r="71" spans="1:25">
      <c r="A71" s="115">
        <f t="shared" si="15"/>
        <v>68</v>
      </c>
      <c r="B71" s="3"/>
      <c r="C71" s="3"/>
      <c r="D71" s="22" t="s">
        <v>7</v>
      </c>
      <c r="E71" s="19">
        <v>0</v>
      </c>
      <c r="F71" s="3">
        <v>0</v>
      </c>
      <c r="G71" s="29">
        <v>0</v>
      </c>
      <c r="H71" s="19">
        <f>+'[2]Kiad-Mód'!F75</f>
        <v>0</v>
      </c>
      <c r="I71" s="9">
        <f t="shared" si="70"/>
        <v>0</v>
      </c>
      <c r="J71" s="9">
        <v>0</v>
      </c>
      <c r="K71" s="29">
        <v>0</v>
      </c>
      <c r="L71" s="3">
        <v>0</v>
      </c>
      <c r="M71" s="26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565">
        <v>0</v>
      </c>
      <c r="T71" s="565">
        <v>0</v>
      </c>
      <c r="U71" s="565">
        <f t="shared" si="76"/>
        <v>0</v>
      </c>
      <c r="V71" s="565">
        <v>0</v>
      </c>
      <c r="W71" s="565">
        <f t="shared" si="77"/>
        <v>0</v>
      </c>
      <c r="X71" s="565">
        <v>0</v>
      </c>
      <c r="Y71" s="565">
        <f t="shared" si="78"/>
        <v>0</v>
      </c>
    </row>
    <row r="72" spans="1:25" ht="14.25" customHeight="1">
      <c r="A72" s="115">
        <f t="shared" si="15"/>
        <v>69</v>
      </c>
      <c r="B72" s="16" t="s">
        <v>9</v>
      </c>
      <c r="C72" s="16"/>
      <c r="D72" s="16"/>
      <c r="E72" s="11">
        <f>SUM(E75,E74,E73)</f>
        <v>1397</v>
      </c>
      <c r="F72" s="11">
        <f t="shared" ref="F72:G72" si="79">SUM(F75,F74,F73)</f>
        <v>1722</v>
      </c>
      <c r="G72" s="31">
        <f t="shared" si="79"/>
        <v>1618</v>
      </c>
      <c r="H72" s="11">
        <f>SUM(H75,H74,H73)</f>
        <v>0</v>
      </c>
      <c r="I72" s="11">
        <f t="shared" si="70"/>
        <v>1618</v>
      </c>
      <c r="J72" s="9">
        <v>0</v>
      </c>
      <c r="K72" s="31">
        <v>1618</v>
      </c>
      <c r="L72" s="3">
        <v>0</v>
      </c>
      <c r="M72" s="79">
        <v>1618</v>
      </c>
      <c r="N72" s="11">
        <v>0</v>
      </c>
      <c r="O72" s="121">
        <f>SUM(O73:O75)</f>
        <v>0</v>
      </c>
      <c r="P72" s="121">
        <f>SUM(P73:P75)</f>
        <v>0</v>
      </c>
      <c r="Q72" s="121">
        <f>SUM(Q73:Q75)</f>
        <v>0</v>
      </c>
      <c r="R72" s="121">
        <f>SUM(R73:R75)</f>
        <v>6477</v>
      </c>
      <c r="S72" s="122">
        <f>SUM(S73:S75)</f>
        <v>2794</v>
      </c>
      <c r="T72" s="122">
        <f t="shared" ref="T72:Y72" si="80">SUM(T73:T75)</f>
        <v>10217</v>
      </c>
      <c r="U72" s="122">
        <f t="shared" si="80"/>
        <v>13011</v>
      </c>
      <c r="V72" s="122">
        <f t="shared" si="80"/>
        <v>0</v>
      </c>
      <c r="W72" s="122">
        <f t="shared" si="80"/>
        <v>13011</v>
      </c>
      <c r="X72" s="122">
        <f t="shared" si="80"/>
        <v>0</v>
      </c>
      <c r="Y72" s="122">
        <f t="shared" si="80"/>
        <v>13011</v>
      </c>
    </row>
    <row r="73" spans="1:25">
      <c r="A73" s="115">
        <f t="shared" si="15"/>
        <v>70</v>
      </c>
      <c r="B73" s="3"/>
      <c r="C73" s="3" t="s">
        <v>10</v>
      </c>
      <c r="D73" s="3"/>
      <c r="E73" s="9">
        <v>1397</v>
      </c>
      <c r="F73" s="9">
        <v>1722</v>
      </c>
      <c r="G73" s="29">
        <v>1618</v>
      </c>
      <c r="H73" s="9">
        <f>+'[2]Kiad-Mód'!F77</f>
        <v>0</v>
      </c>
      <c r="I73" s="9">
        <f t="shared" si="70"/>
        <v>1618</v>
      </c>
      <c r="J73" s="9">
        <v>0</v>
      </c>
      <c r="K73" s="29">
        <v>1618</v>
      </c>
      <c r="L73" s="3">
        <v>0</v>
      </c>
      <c r="M73" s="26">
        <v>1618</v>
      </c>
      <c r="N73" s="9">
        <v>0</v>
      </c>
      <c r="O73" s="9">
        <v>0</v>
      </c>
      <c r="P73" s="9">
        <v>0</v>
      </c>
      <c r="Q73" s="9">
        <v>0</v>
      </c>
      <c r="R73" s="9">
        <v>6477</v>
      </c>
      <c r="S73" s="565">
        <v>2794</v>
      </c>
      <c r="T73" s="565">
        <v>0</v>
      </c>
      <c r="U73" s="565">
        <f t="shared" ref="U73:U74" si="81">SUM(S73:T73)</f>
        <v>2794</v>
      </c>
      <c r="V73" s="565">
        <v>0</v>
      </c>
      <c r="W73" s="565">
        <f t="shared" ref="W73:W74" si="82">SUM(U73:V73)</f>
        <v>2794</v>
      </c>
      <c r="X73" s="565">
        <v>0</v>
      </c>
      <c r="Y73" s="565">
        <f t="shared" ref="Y73:Y74" si="83">SUM(W73:X73)</f>
        <v>2794</v>
      </c>
    </row>
    <row r="74" spans="1:25">
      <c r="A74" s="115">
        <f t="shared" si="15"/>
        <v>71</v>
      </c>
      <c r="B74" s="3"/>
      <c r="C74" s="3" t="s">
        <v>11</v>
      </c>
      <c r="D74" s="3"/>
      <c r="E74" s="9">
        <v>0</v>
      </c>
      <c r="F74" s="3">
        <v>0</v>
      </c>
      <c r="G74" s="29">
        <v>0</v>
      </c>
      <c r="H74" s="9">
        <f>+'[2]Kiad-Mód'!F78</f>
        <v>0</v>
      </c>
      <c r="I74" s="9">
        <f t="shared" si="70"/>
        <v>0</v>
      </c>
      <c r="J74" s="9">
        <v>0</v>
      </c>
      <c r="K74" s="29">
        <v>0</v>
      </c>
      <c r="L74" s="3">
        <v>0</v>
      </c>
      <c r="M74" s="26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565">
        <v>0</v>
      </c>
      <c r="T74" s="565">
        <v>10217</v>
      </c>
      <c r="U74" s="565">
        <f t="shared" si="81"/>
        <v>10217</v>
      </c>
      <c r="V74" s="565">
        <v>0</v>
      </c>
      <c r="W74" s="565">
        <f t="shared" si="82"/>
        <v>10217</v>
      </c>
      <c r="X74" s="565">
        <v>0</v>
      </c>
      <c r="Y74" s="565">
        <f t="shared" si="83"/>
        <v>10217</v>
      </c>
    </row>
    <row r="75" spans="1:25">
      <c r="A75" s="115">
        <f t="shared" si="15"/>
        <v>72</v>
      </c>
      <c r="B75" s="3"/>
      <c r="C75" s="3" t="s">
        <v>12</v>
      </c>
      <c r="D75" s="3"/>
      <c r="E75" s="9">
        <v>0</v>
      </c>
      <c r="F75" s="3">
        <v>0</v>
      </c>
      <c r="G75" s="29">
        <v>0</v>
      </c>
      <c r="H75" s="9">
        <f>SUM(H76:H78)</f>
        <v>0</v>
      </c>
      <c r="I75" s="9">
        <f t="shared" si="70"/>
        <v>0</v>
      </c>
      <c r="J75" s="9">
        <v>0</v>
      </c>
      <c r="K75" s="29">
        <v>0</v>
      </c>
      <c r="L75" s="3">
        <v>0</v>
      </c>
      <c r="M75" s="26">
        <v>0</v>
      </c>
      <c r="N75" s="9">
        <v>0</v>
      </c>
      <c r="O75" s="120">
        <f>SUM(O76:O78)</f>
        <v>0</v>
      </c>
      <c r="P75" s="120">
        <f>SUM(P76:P78)</f>
        <v>0</v>
      </c>
      <c r="Q75" s="120">
        <f>SUM(Q76:Q78)</f>
        <v>0</v>
      </c>
      <c r="R75" s="120">
        <f>SUM(R76:R78)</f>
        <v>0</v>
      </c>
      <c r="S75" s="568">
        <f>SUM(S76:S78)</f>
        <v>0</v>
      </c>
      <c r="T75" s="568">
        <f t="shared" ref="T75:Y75" si="84">SUM(T76:T78)</f>
        <v>0</v>
      </c>
      <c r="U75" s="568">
        <f t="shared" si="84"/>
        <v>0</v>
      </c>
      <c r="V75" s="568">
        <f t="shared" si="84"/>
        <v>0</v>
      </c>
      <c r="W75" s="568">
        <f t="shared" si="84"/>
        <v>0</v>
      </c>
      <c r="X75" s="568">
        <f t="shared" si="84"/>
        <v>0</v>
      </c>
      <c r="Y75" s="568">
        <f t="shared" si="84"/>
        <v>0</v>
      </c>
    </row>
    <row r="76" spans="1:25">
      <c r="A76" s="115">
        <f t="shared" si="15"/>
        <v>73</v>
      </c>
      <c r="B76" s="3"/>
      <c r="C76" s="3"/>
      <c r="D76" s="22" t="s">
        <v>13</v>
      </c>
      <c r="E76" s="19">
        <v>0</v>
      </c>
      <c r="F76" s="3">
        <v>0</v>
      </c>
      <c r="G76" s="29">
        <v>0</v>
      </c>
      <c r="H76" s="19">
        <f>+'[2]Kiad-Mód'!F80</f>
        <v>0</v>
      </c>
      <c r="I76" s="9">
        <f t="shared" si="70"/>
        <v>0</v>
      </c>
      <c r="J76" s="9">
        <v>0</v>
      </c>
      <c r="K76" s="29">
        <v>0</v>
      </c>
      <c r="L76" s="3">
        <v>0</v>
      </c>
      <c r="M76" s="26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565">
        <v>0</v>
      </c>
      <c r="T76" s="565">
        <v>0</v>
      </c>
      <c r="U76" s="565">
        <f t="shared" ref="U76:U78" si="85">SUM(S76:T76)</f>
        <v>0</v>
      </c>
      <c r="V76" s="565">
        <v>0</v>
      </c>
      <c r="W76" s="565">
        <f t="shared" ref="W76:W78" si="86">SUM(U76:V76)</f>
        <v>0</v>
      </c>
      <c r="X76" s="565">
        <v>0</v>
      </c>
      <c r="Y76" s="565">
        <f t="shared" ref="Y76:Y78" si="87">SUM(W76:X76)</f>
        <v>0</v>
      </c>
    </row>
    <row r="77" spans="1:25" ht="30">
      <c r="A77" s="115">
        <f t="shared" si="15"/>
        <v>74</v>
      </c>
      <c r="B77" s="3"/>
      <c r="C77" s="3"/>
      <c r="D77" s="18" t="s">
        <v>503</v>
      </c>
      <c r="E77" s="19">
        <v>0</v>
      </c>
      <c r="F77" s="3">
        <v>0</v>
      </c>
      <c r="G77" s="29">
        <v>0</v>
      </c>
      <c r="H77" s="19">
        <f>+'[2]Kiad-Mód'!F81</f>
        <v>0</v>
      </c>
      <c r="I77" s="9">
        <f t="shared" si="70"/>
        <v>0</v>
      </c>
      <c r="J77" s="9">
        <v>0</v>
      </c>
      <c r="K77" s="29">
        <v>0</v>
      </c>
      <c r="L77" s="3">
        <v>0</v>
      </c>
      <c r="M77" s="26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565">
        <v>0</v>
      </c>
      <c r="T77" s="565">
        <v>0</v>
      </c>
      <c r="U77" s="565">
        <f t="shared" si="85"/>
        <v>0</v>
      </c>
      <c r="V77" s="565">
        <v>0</v>
      </c>
      <c r="W77" s="565">
        <f t="shared" si="86"/>
        <v>0</v>
      </c>
      <c r="X77" s="565">
        <v>0</v>
      </c>
      <c r="Y77" s="565">
        <f t="shared" si="87"/>
        <v>0</v>
      </c>
    </row>
    <row r="78" spans="1:25">
      <c r="A78" s="115">
        <f t="shared" si="15"/>
        <v>75</v>
      </c>
      <c r="B78" s="3"/>
      <c r="C78" s="3"/>
      <c r="D78" s="22" t="s">
        <v>14</v>
      </c>
      <c r="E78" s="19">
        <v>0</v>
      </c>
      <c r="F78" s="3">
        <v>0</v>
      </c>
      <c r="G78" s="29">
        <v>0</v>
      </c>
      <c r="H78" s="19">
        <f>+'[2]Kiad-Mód'!F82</f>
        <v>0</v>
      </c>
      <c r="I78" s="9">
        <f t="shared" si="70"/>
        <v>0</v>
      </c>
      <c r="J78" s="9">
        <v>0</v>
      </c>
      <c r="K78" s="29">
        <v>0</v>
      </c>
      <c r="L78" s="3">
        <v>0</v>
      </c>
      <c r="M78" s="26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565">
        <v>0</v>
      </c>
      <c r="T78" s="565">
        <v>0</v>
      </c>
      <c r="U78" s="565">
        <f t="shared" si="85"/>
        <v>0</v>
      </c>
      <c r="V78" s="565">
        <v>0</v>
      </c>
      <c r="W78" s="565">
        <f t="shared" si="86"/>
        <v>0</v>
      </c>
      <c r="X78" s="565">
        <v>0</v>
      </c>
      <c r="Y78" s="565">
        <f t="shared" si="87"/>
        <v>0</v>
      </c>
    </row>
    <row r="79" spans="1:25">
      <c r="A79" s="115">
        <f t="shared" ref="A79:A142" si="88">A78+1</f>
        <v>76</v>
      </c>
      <c r="B79" s="16" t="s">
        <v>15</v>
      </c>
      <c r="C79" s="16"/>
      <c r="D79" s="16"/>
      <c r="E79" s="11">
        <f>SUM(E80:E82)</f>
        <v>0</v>
      </c>
      <c r="F79" s="3">
        <v>0</v>
      </c>
      <c r="G79" s="29">
        <v>0</v>
      </c>
      <c r="H79" s="11">
        <f>SUM(H80:H82)</f>
        <v>0</v>
      </c>
      <c r="I79" s="9">
        <f t="shared" si="70"/>
        <v>0</v>
      </c>
      <c r="J79" s="9">
        <v>0</v>
      </c>
      <c r="K79" s="29">
        <v>0</v>
      </c>
      <c r="L79" s="3">
        <v>0</v>
      </c>
      <c r="M79" s="26">
        <v>0</v>
      </c>
      <c r="N79" s="9">
        <v>0</v>
      </c>
      <c r="O79" s="121">
        <f>SUM(O80:O82)</f>
        <v>0</v>
      </c>
      <c r="P79" s="121">
        <f>SUM(P80:P82)</f>
        <v>0</v>
      </c>
      <c r="Q79" s="121">
        <f>SUM(Q80:Q82)</f>
        <v>0</v>
      </c>
      <c r="R79" s="121">
        <f>SUM(R80:R82)</f>
        <v>0</v>
      </c>
      <c r="S79" s="122">
        <f>SUM(S80:S82)</f>
        <v>0</v>
      </c>
      <c r="T79" s="122">
        <f t="shared" ref="T79:Y79" si="89">SUM(T80:T82)</f>
        <v>0</v>
      </c>
      <c r="U79" s="122">
        <f t="shared" si="89"/>
        <v>0</v>
      </c>
      <c r="V79" s="122">
        <f t="shared" si="89"/>
        <v>0</v>
      </c>
      <c r="W79" s="122">
        <f t="shared" si="89"/>
        <v>0</v>
      </c>
      <c r="X79" s="122">
        <f t="shared" si="89"/>
        <v>0</v>
      </c>
      <c r="Y79" s="122">
        <f t="shared" si="89"/>
        <v>0</v>
      </c>
    </row>
    <row r="80" spans="1:25">
      <c r="A80" s="115">
        <f t="shared" si="88"/>
        <v>77</v>
      </c>
      <c r="B80" s="3"/>
      <c r="C80" s="3" t="s">
        <v>16</v>
      </c>
      <c r="D80" s="3"/>
      <c r="E80" s="9">
        <v>0</v>
      </c>
      <c r="F80" s="3">
        <v>0</v>
      </c>
      <c r="G80" s="29">
        <v>0</v>
      </c>
      <c r="H80" s="9">
        <f>+'[2]Kiad-Mód'!F84</f>
        <v>0</v>
      </c>
      <c r="I80" s="9">
        <f t="shared" si="70"/>
        <v>0</v>
      </c>
      <c r="J80" s="9">
        <v>0</v>
      </c>
      <c r="K80" s="29">
        <v>0</v>
      </c>
      <c r="L80" s="3">
        <v>0</v>
      </c>
      <c r="M80" s="26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565">
        <v>0</v>
      </c>
      <c r="T80" s="565">
        <v>0</v>
      </c>
      <c r="U80" s="565">
        <f t="shared" ref="U80:U82" si="90">SUM(S80:T80)</f>
        <v>0</v>
      </c>
      <c r="V80" s="565">
        <v>0</v>
      </c>
      <c r="W80" s="565">
        <f t="shared" ref="W80:W82" si="91">SUM(U80:V80)</f>
        <v>0</v>
      </c>
      <c r="X80" s="565">
        <v>0</v>
      </c>
      <c r="Y80" s="565">
        <f t="shared" ref="Y80:Y82" si="92">SUM(W80:X80)</f>
        <v>0</v>
      </c>
    </row>
    <row r="81" spans="1:25">
      <c r="A81" s="115">
        <f t="shared" si="88"/>
        <v>78</v>
      </c>
      <c r="B81" s="3"/>
      <c r="C81" s="3" t="s">
        <v>17</v>
      </c>
      <c r="D81" s="3"/>
      <c r="E81" s="9">
        <v>0</v>
      </c>
      <c r="F81" s="3">
        <v>0</v>
      </c>
      <c r="G81" s="29">
        <v>0</v>
      </c>
      <c r="H81" s="9">
        <f>+'[2]Kiad-Mód'!F85</f>
        <v>0</v>
      </c>
      <c r="I81" s="9">
        <f t="shared" si="70"/>
        <v>0</v>
      </c>
      <c r="J81" s="9">
        <v>0</v>
      </c>
      <c r="K81" s="29">
        <v>0</v>
      </c>
      <c r="L81" s="3">
        <v>0</v>
      </c>
      <c r="M81" s="26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565">
        <v>0</v>
      </c>
      <c r="T81" s="565">
        <v>0</v>
      </c>
      <c r="U81" s="565">
        <f t="shared" si="90"/>
        <v>0</v>
      </c>
      <c r="V81" s="565">
        <v>0</v>
      </c>
      <c r="W81" s="565">
        <f t="shared" si="91"/>
        <v>0</v>
      </c>
      <c r="X81" s="565">
        <v>0</v>
      </c>
      <c r="Y81" s="565">
        <f t="shared" si="92"/>
        <v>0</v>
      </c>
    </row>
    <row r="82" spans="1:25">
      <c r="A82" s="115">
        <f t="shared" si="88"/>
        <v>79</v>
      </c>
      <c r="B82" s="3"/>
      <c r="C82" s="3" t="s">
        <v>18</v>
      </c>
      <c r="D82" s="3"/>
      <c r="E82" s="9">
        <v>0</v>
      </c>
      <c r="F82" s="3">
        <v>0</v>
      </c>
      <c r="G82" s="29">
        <v>0</v>
      </c>
      <c r="H82" s="9">
        <f>+'[2]Kiad-Mód'!F86</f>
        <v>0</v>
      </c>
      <c r="I82" s="9">
        <f t="shared" si="70"/>
        <v>0</v>
      </c>
      <c r="J82" s="9">
        <v>0</v>
      </c>
      <c r="K82" s="29">
        <v>0</v>
      </c>
      <c r="L82" s="3">
        <v>0</v>
      </c>
      <c r="M82" s="26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565">
        <v>0</v>
      </c>
      <c r="T82" s="565">
        <v>0</v>
      </c>
      <c r="U82" s="565">
        <f t="shared" si="90"/>
        <v>0</v>
      </c>
      <c r="V82" s="565">
        <v>0</v>
      </c>
      <c r="W82" s="565">
        <f t="shared" si="91"/>
        <v>0</v>
      </c>
      <c r="X82" s="565">
        <v>0</v>
      </c>
      <c r="Y82" s="565">
        <f t="shared" si="92"/>
        <v>0</v>
      </c>
    </row>
    <row r="83" spans="1:25">
      <c r="A83" s="115">
        <f t="shared" si="88"/>
        <v>80</v>
      </c>
      <c r="B83" s="16" t="s">
        <v>19</v>
      </c>
      <c r="C83" s="16"/>
      <c r="D83" s="16"/>
      <c r="E83" s="11">
        <f>SUM(E61,E72,E79)</f>
        <v>304605</v>
      </c>
      <c r="F83" s="11">
        <f t="shared" ref="F83:G83" si="93">SUM(F61,F72,F79)</f>
        <v>310034</v>
      </c>
      <c r="G83" s="31">
        <f t="shared" si="93"/>
        <v>324000</v>
      </c>
      <c r="H83" s="11">
        <f>SUM(H61,H72,H79)</f>
        <v>1416</v>
      </c>
      <c r="I83" s="11">
        <f t="shared" si="70"/>
        <v>325416</v>
      </c>
      <c r="J83" s="11">
        <f>J61</f>
        <v>973</v>
      </c>
      <c r="K83" s="31">
        <f>J83+I83</f>
        <v>326389</v>
      </c>
      <c r="L83" s="3">
        <f>L61</f>
        <v>109</v>
      </c>
      <c r="M83" s="31">
        <f>K83+L83</f>
        <v>326498</v>
      </c>
      <c r="N83" s="11">
        <v>336000</v>
      </c>
      <c r="O83" s="122">
        <f>SUM(O79,O72,O61)</f>
        <v>386873</v>
      </c>
      <c r="P83" s="122">
        <f>SUM(P79,P72,P61)</f>
        <v>394562</v>
      </c>
      <c r="Q83" s="122">
        <f>SUM(Q79,Q72,Q61)</f>
        <v>457521</v>
      </c>
      <c r="R83" s="122">
        <f>SUM(R79,R72,R61)</f>
        <v>588141</v>
      </c>
      <c r="S83" s="122">
        <f>SUM(S79,S72,S61)</f>
        <v>734429</v>
      </c>
      <c r="T83" s="122">
        <f t="shared" ref="T83:Y83" si="94">SUM(T79,T72,T61)</f>
        <v>-30926</v>
      </c>
      <c r="U83" s="122">
        <f t="shared" si="94"/>
        <v>703503</v>
      </c>
      <c r="V83" s="122">
        <f t="shared" si="94"/>
        <v>5936</v>
      </c>
      <c r="W83" s="122">
        <f t="shared" si="94"/>
        <v>709439</v>
      </c>
      <c r="X83" s="122">
        <f t="shared" si="94"/>
        <v>7707</v>
      </c>
      <c r="Y83" s="122">
        <f t="shared" si="94"/>
        <v>717146</v>
      </c>
    </row>
    <row r="84" spans="1:25" ht="87.75" customHeight="1">
      <c r="A84" s="115">
        <f t="shared" si="88"/>
        <v>81</v>
      </c>
      <c r="B84" s="16" t="s">
        <v>22</v>
      </c>
      <c r="C84" s="3"/>
      <c r="D84" s="3"/>
      <c r="E84" s="15" t="s">
        <v>107</v>
      </c>
      <c r="F84" s="6" t="s">
        <v>113</v>
      </c>
      <c r="G84" s="25" t="s">
        <v>114</v>
      </c>
      <c r="H84" s="24" t="s">
        <v>111</v>
      </c>
      <c r="I84" s="6" t="s">
        <v>116</v>
      </c>
      <c r="J84" s="6" t="s">
        <v>111</v>
      </c>
      <c r="K84" s="76" t="s">
        <v>256</v>
      </c>
      <c r="L84" s="6" t="s">
        <v>111</v>
      </c>
      <c r="M84" s="76" t="s">
        <v>260</v>
      </c>
      <c r="N84" s="6" t="str">
        <f t="shared" ref="N84:R84" si="95">N$4</f>
        <v>Előirányzat
4/2020. (III.05.) önkormányzati rendelet</v>
      </c>
      <c r="O84" s="6" t="str">
        <f t="shared" si="95"/>
        <v>Előirányzat
 5./2021. (II.25.) polgármesteri rendelet</v>
      </c>
      <c r="P84" s="6" t="str">
        <f t="shared" si="95"/>
        <v>Előirányzat
3/2022. (II.10.) önkormányzati rendelet</v>
      </c>
      <c r="Q84" s="6" t="str">
        <f t="shared" si="95"/>
        <v>Előirányzat
1./2023. (II.23.) önkormányzati rendelet</v>
      </c>
      <c r="R84" s="6" t="str">
        <f t="shared" si="95"/>
        <v>Előirányzat
1./2024. (II)22. önkormányzati rendelet</v>
      </c>
      <c r="S84" s="562" t="str">
        <f ca="1">S$4</f>
        <v>Előirányzat
2/2025. (II.20.) önkormányzati rendelet</v>
      </c>
      <c r="T84" s="562" t="s">
        <v>111</v>
      </c>
      <c r="U84" s="562" t="str">
        <f>U58</f>
        <v>Előirányzat 13/2025. (VI.26.) önkormányzati rendelet</v>
      </c>
      <c r="V84" s="562" t="s">
        <v>111</v>
      </c>
      <c r="W84" s="562" t="str">
        <f>W4</f>
        <v>Előirányzat 16/2025. (IX.25.) önkormányzati rendelet</v>
      </c>
      <c r="X84" s="562" t="s">
        <v>111</v>
      </c>
      <c r="Y84" s="562" t="s">
        <v>582</v>
      </c>
    </row>
    <row r="85" spans="1:25" ht="19.5" customHeight="1">
      <c r="A85" s="115">
        <f t="shared" si="88"/>
        <v>82</v>
      </c>
      <c r="B85" s="16" t="s">
        <v>25</v>
      </c>
      <c r="C85" s="3"/>
      <c r="D85" s="3"/>
      <c r="E85" s="9"/>
      <c r="F85" s="3"/>
      <c r="G85" s="29"/>
      <c r="H85" s="3"/>
      <c r="I85" s="3"/>
      <c r="J85" s="9"/>
      <c r="K85" s="29"/>
      <c r="L85" s="3"/>
      <c r="M85" s="26"/>
      <c r="N85" s="3"/>
      <c r="O85" s="9"/>
      <c r="P85" s="9"/>
      <c r="Q85" s="9"/>
      <c r="R85" s="9"/>
      <c r="S85" s="565"/>
      <c r="T85" s="565"/>
      <c r="U85" s="565"/>
      <c r="V85" s="565"/>
      <c r="W85" s="565"/>
      <c r="X85" s="565"/>
      <c r="Y85" s="565"/>
    </row>
    <row r="86" spans="1:25">
      <c r="A86" s="115">
        <f t="shared" si="88"/>
        <v>83</v>
      </c>
      <c r="B86" s="16"/>
      <c r="C86" s="3" t="s">
        <v>26</v>
      </c>
      <c r="D86" s="3"/>
      <c r="E86" s="9"/>
      <c r="F86" s="3"/>
      <c r="G86" s="29"/>
      <c r="H86" s="3"/>
      <c r="I86" s="3"/>
      <c r="J86" s="9"/>
      <c r="K86" s="29"/>
      <c r="L86" s="3"/>
      <c r="M86" s="26"/>
      <c r="N86" s="3"/>
      <c r="O86" s="9"/>
      <c r="P86" s="9"/>
      <c r="Q86" s="9"/>
      <c r="R86" s="9"/>
      <c r="S86" s="565"/>
      <c r="T86" s="565"/>
      <c r="U86" s="565"/>
      <c r="V86" s="565"/>
      <c r="W86" s="565"/>
      <c r="X86" s="565"/>
      <c r="Y86" s="565"/>
    </row>
    <row r="87" spans="1:25">
      <c r="A87" s="115">
        <f t="shared" si="88"/>
        <v>84</v>
      </c>
      <c r="B87" s="16" t="s">
        <v>8</v>
      </c>
      <c r="C87" s="16"/>
      <c r="D87" s="16"/>
      <c r="E87" s="11">
        <f>SUM(E92,E91,E90,E89,E88)</f>
        <v>77765</v>
      </c>
      <c r="F87" s="11">
        <f t="shared" ref="F87" si="96">SUM(F92,F91,F90,F89,F88)</f>
        <v>118432</v>
      </c>
      <c r="G87" s="31">
        <f>SUM(G90,G89,G88)</f>
        <v>86358</v>
      </c>
      <c r="H87" s="11">
        <f>SUM(H92,H91,H90,H89,H88)</f>
        <v>25548</v>
      </c>
      <c r="I87" s="11">
        <f>G87+H87</f>
        <v>111906</v>
      </c>
      <c r="J87" s="11">
        <f>J88+J89+J90</f>
        <v>6674</v>
      </c>
      <c r="K87" s="31">
        <f>J87+I87</f>
        <v>118580</v>
      </c>
      <c r="L87" s="11">
        <f>L88+L89+L90</f>
        <v>17181</v>
      </c>
      <c r="M87" s="31">
        <f>K87+L87</f>
        <v>135761</v>
      </c>
      <c r="N87" s="11">
        <f>N88+N89+N90</f>
        <v>95296</v>
      </c>
      <c r="O87" s="121">
        <f>SUM(O88:O92)</f>
        <v>79679</v>
      </c>
      <c r="P87" s="121">
        <f>SUM(P88:P92)</f>
        <v>92607</v>
      </c>
      <c r="Q87" s="121">
        <f>SUM(Q88:Q92)</f>
        <v>118140</v>
      </c>
      <c r="R87" s="121">
        <f>SUM(R88:R92)</f>
        <v>143027</v>
      </c>
      <c r="S87" s="122">
        <f>SUM(S88:S92)</f>
        <v>133397</v>
      </c>
      <c r="T87" s="122">
        <f t="shared" ref="T87:Y87" si="97">SUM(T88:T92)</f>
        <v>8872</v>
      </c>
      <c r="U87" s="122">
        <f t="shared" si="97"/>
        <v>142269</v>
      </c>
      <c r="V87" s="122">
        <f t="shared" si="97"/>
        <v>4095</v>
      </c>
      <c r="W87" s="122">
        <f t="shared" si="97"/>
        <v>146364</v>
      </c>
      <c r="X87" s="122">
        <f t="shared" si="97"/>
        <v>3078</v>
      </c>
      <c r="Y87" s="122">
        <f t="shared" si="97"/>
        <v>149442</v>
      </c>
    </row>
    <row r="88" spans="1:25">
      <c r="A88" s="115">
        <f t="shared" si="88"/>
        <v>85</v>
      </c>
      <c r="B88" s="3"/>
      <c r="C88" s="3" t="s">
        <v>2</v>
      </c>
      <c r="D88" s="3"/>
      <c r="E88" s="9">
        <v>47871</v>
      </c>
      <c r="F88" s="9">
        <v>69927</v>
      </c>
      <c r="G88" s="29">
        <v>49270</v>
      </c>
      <c r="H88" s="9">
        <v>9670</v>
      </c>
      <c r="I88" s="9">
        <f t="shared" ref="I88:I109" si="98">G88+H88</f>
        <v>58940</v>
      </c>
      <c r="J88" s="9">
        <v>6043</v>
      </c>
      <c r="K88" s="29">
        <f t="shared" ref="K88:K108" si="99">J88+I88</f>
        <v>64983</v>
      </c>
      <c r="L88" s="9">
        <v>6200</v>
      </c>
      <c r="M88" s="29">
        <f>K88+L88</f>
        <v>71183</v>
      </c>
      <c r="N88" s="9">
        <v>54528</v>
      </c>
      <c r="O88" s="9">
        <v>48824</v>
      </c>
      <c r="P88" s="9">
        <v>56135</v>
      </c>
      <c r="Q88" s="9">
        <v>61535</v>
      </c>
      <c r="R88" s="9">
        <v>80913</v>
      </c>
      <c r="S88" s="565">
        <v>82507</v>
      </c>
      <c r="T88" s="565">
        <v>3490</v>
      </c>
      <c r="U88" s="565">
        <f t="shared" ref="U88:U91" si="100">SUM(S88:T88)</f>
        <v>85997</v>
      </c>
      <c r="V88" s="565">
        <v>2153</v>
      </c>
      <c r="W88" s="565">
        <f t="shared" ref="W88:W91" si="101">SUM(U88:V88)</f>
        <v>88150</v>
      </c>
      <c r="X88" s="565">
        <v>918</v>
      </c>
      <c r="Y88" s="565">
        <f t="shared" ref="Y88:Y91" si="102">SUM(W88:X88)</f>
        <v>89068</v>
      </c>
    </row>
    <row r="89" spans="1:25">
      <c r="A89" s="115">
        <f t="shared" si="88"/>
        <v>86</v>
      </c>
      <c r="B89" s="3"/>
      <c r="C89" s="3" t="s">
        <v>1</v>
      </c>
      <c r="D89" s="3"/>
      <c r="E89" s="9">
        <v>9344</v>
      </c>
      <c r="F89" s="9">
        <v>12498</v>
      </c>
      <c r="G89" s="29">
        <v>8622</v>
      </c>
      <c r="H89" s="9">
        <v>1000</v>
      </c>
      <c r="I89" s="9">
        <f t="shared" si="98"/>
        <v>9622</v>
      </c>
      <c r="J89" s="9">
        <v>361</v>
      </c>
      <c r="K89" s="29">
        <f t="shared" si="99"/>
        <v>9983</v>
      </c>
      <c r="L89" s="9">
        <v>2178</v>
      </c>
      <c r="M89" s="29">
        <f>K89+L89</f>
        <v>12161</v>
      </c>
      <c r="N89" s="9">
        <v>9542</v>
      </c>
      <c r="O89" s="9">
        <v>7568</v>
      </c>
      <c r="P89" s="9">
        <v>7298</v>
      </c>
      <c r="Q89" s="9">
        <v>8239</v>
      </c>
      <c r="R89" s="9">
        <v>10937</v>
      </c>
      <c r="S89" s="565">
        <v>10294</v>
      </c>
      <c r="T89" s="565">
        <v>232</v>
      </c>
      <c r="U89" s="565">
        <f t="shared" si="100"/>
        <v>10526</v>
      </c>
      <c r="V89" s="565">
        <v>703</v>
      </c>
      <c r="W89" s="565">
        <f t="shared" si="101"/>
        <v>11229</v>
      </c>
      <c r="X89" s="565">
        <v>60</v>
      </c>
      <c r="Y89" s="565">
        <f t="shared" si="102"/>
        <v>11289</v>
      </c>
    </row>
    <row r="90" spans="1:25">
      <c r="A90" s="115">
        <f t="shared" si="88"/>
        <v>87</v>
      </c>
      <c r="B90" s="3"/>
      <c r="C90" s="3" t="s">
        <v>4</v>
      </c>
      <c r="D90" s="3"/>
      <c r="E90" s="9">
        <v>20550</v>
      </c>
      <c r="F90" s="9">
        <v>36007</v>
      </c>
      <c r="G90" s="29">
        <v>28466</v>
      </c>
      <c r="H90" s="9">
        <v>14878</v>
      </c>
      <c r="I90" s="9">
        <f t="shared" si="98"/>
        <v>43344</v>
      </c>
      <c r="J90" s="9">
        <v>270</v>
      </c>
      <c r="K90" s="29">
        <f t="shared" si="99"/>
        <v>43614</v>
      </c>
      <c r="L90" s="9">
        <v>8803</v>
      </c>
      <c r="M90" s="29">
        <f>K90+L90</f>
        <v>52417</v>
      </c>
      <c r="N90" s="9">
        <v>31226</v>
      </c>
      <c r="O90" s="9">
        <v>23287</v>
      </c>
      <c r="P90" s="9">
        <v>29174</v>
      </c>
      <c r="Q90" s="9">
        <v>48366</v>
      </c>
      <c r="R90" s="9">
        <v>51177</v>
      </c>
      <c r="S90" s="565">
        <v>40596</v>
      </c>
      <c r="T90" s="565">
        <v>5148</v>
      </c>
      <c r="U90" s="565">
        <f t="shared" si="100"/>
        <v>45744</v>
      </c>
      <c r="V90" s="565">
        <v>1239</v>
      </c>
      <c r="W90" s="565">
        <f t="shared" si="101"/>
        <v>46983</v>
      </c>
      <c r="X90" s="565">
        <v>2100</v>
      </c>
      <c r="Y90" s="565">
        <f t="shared" si="102"/>
        <v>49083</v>
      </c>
    </row>
    <row r="91" spans="1:25">
      <c r="A91" s="115">
        <f t="shared" si="88"/>
        <v>88</v>
      </c>
      <c r="B91" s="3"/>
      <c r="C91" s="3" t="s">
        <v>3</v>
      </c>
      <c r="D91" s="3"/>
      <c r="E91" s="9">
        <v>0</v>
      </c>
      <c r="F91" s="9">
        <v>0</v>
      </c>
      <c r="G91" s="29">
        <v>0</v>
      </c>
      <c r="H91" s="9">
        <f>+'[2]Kiad-Mód'!F97</f>
        <v>0</v>
      </c>
      <c r="I91" s="9">
        <f t="shared" si="98"/>
        <v>0</v>
      </c>
      <c r="J91" s="9">
        <v>0</v>
      </c>
      <c r="K91" s="29">
        <f t="shared" si="99"/>
        <v>0</v>
      </c>
      <c r="L91" s="3">
        <v>0</v>
      </c>
      <c r="M91" s="26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565">
        <v>0</v>
      </c>
      <c r="T91" s="565">
        <v>0</v>
      </c>
      <c r="U91" s="565">
        <f t="shared" si="100"/>
        <v>0</v>
      </c>
      <c r="V91" s="565">
        <v>0</v>
      </c>
      <c r="W91" s="565">
        <f t="shared" si="101"/>
        <v>0</v>
      </c>
      <c r="X91" s="565">
        <v>0</v>
      </c>
      <c r="Y91" s="565">
        <f t="shared" si="102"/>
        <v>0</v>
      </c>
    </row>
    <row r="92" spans="1:25">
      <c r="A92" s="115">
        <f t="shared" si="88"/>
        <v>89</v>
      </c>
      <c r="B92" s="3"/>
      <c r="C92" s="3" t="s">
        <v>5</v>
      </c>
      <c r="D92" s="3"/>
      <c r="E92" s="9">
        <f>SUM(E93:E97)</f>
        <v>0</v>
      </c>
      <c r="F92" s="9">
        <v>0</v>
      </c>
      <c r="G92" s="29">
        <v>0</v>
      </c>
      <c r="H92" s="9">
        <f>SUM(H93:H97)</f>
        <v>0</v>
      </c>
      <c r="I92" s="9">
        <f t="shared" si="98"/>
        <v>0</v>
      </c>
      <c r="J92" s="9">
        <v>0</v>
      </c>
      <c r="K92" s="29">
        <f t="shared" si="99"/>
        <v>0</v>
      </c>
      <c r="L92" s="3">
        <v>0</v>
      </c>
      <c r="M92" s="26">
        <v>0</v>
      </c>
      <c r="N92" s="9">
        <v>0</v>
      </c>
      <c r="O92" s="120">
        <f>SUM(O93:O97)</f>
        <v>0</v>
      </c>
      <c r="P92" s="120">
        <f>SUM(P93:P97)</f>
        <v>0</v>
      </c>
      <c r="Q92" s="120">
        <f>SUM(Q93:Q97)</f>
        <v>0</v>
      </c>
      <c r="R92" s="120">
        <f>SUM(R93:R97)</f>
        <v>0</v>
      </c>
      <c r="S92" s="568">
        <f>SUM(S93:S97)</f>
        <v>0</v>
      </c>
      <c r="T92" s="568">
        <f t="shared" ref="T92:Y92" si="103">SUM(T93:T97)</f>
        <v>2</v>
      </c>
      <c r="U92" s="568">
        <f t="shared" si="103"/>
        <v>2</v>
      </c>
      <c r="V92" s="568">
        <f t="shared" si="103"/>
        <v>0</v>
      </c>
      <c r="W92" s="568">
        <f t="shared" si="103"/>
        <v>2</v>
      </c>
      <c r="X92" s="568">
        <f t="shared" si="103"/>
        <v>0</v>
      </c>
      <c r="Y92" s="568">
        <f t="shared" si="103"/>
        <v>2</v>
      </c>
    </row>
    <row r="93" spans="1:25">
      <c r="A93" s="115">
        <f t="shared" si="88"/>
        <v>90</v>
      </c>
      <c r="B93" s="3"/>
      <c r="C93" s="3"/>
      <c r="D93" s="23" t="s">
        <v>20</v>
      </c>
      <c r="E93" s="19">
        <v>0</v>
      </c>
      <c r="F93" s="3">
        <v>0</v>
      </c>
      <c r="G93" s="29">
        <v>0</v>
      </c>
      <c r="H93" s="19">
        <f>+'[2]Kiad-Mód'!F99</f>
        <v>0</v>
      </c>
      <c r="I93" s="9">
        <f t="shared" si="98"/>
        <v>0</v>
      </c>
      <c r="J93" s="9">
        <v>0</v>
      </c>
      <c r="K93" s="29">
        <f t="shared" si="99"/>
        <v>0</v>
      </c>
      <c r="L93" s="3">
        <v>0</v>
      </c>
      <c r="M93" s="26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565">
        <v>0</v>
      </c>
      <c r="T93" s="565">
        <v>0</v>
      </c>
      <c r="U93" s="565">
        <f t="shared" ref="U93:U97" si="104">SUM(S93:T93)</f>
        <v>0</v>
      </c>
      <c r="V93" s="565">
        <v>0</v>
      </c>
      <c r="W93" s="565">
        <f t="shared" ref="W93:W97" si="105">SUM(U93:V93)</f>
        <v>0</v>
      </c>
      <c r="X93" s="565">
        <v>0</v>
      </c>
      <c r="Y93" s="565">
        <f t="shared" ref="Y93:Y97" si="106">SUM(W93:X93)</f>
        <v>0</v>
      </c>
    </row>
    <row r="94" spans="1:25">
      <c r="A94" s="115">
        <f t="shared" si="88"/>
        <v>91</v>
      </c>
      <c r="B94" s="3"/>
      <c r="C94" s="3"/>
      <c r="D94" s="22" t="s">
        <v>519</v>
      </c>
      <c r="E94" s="19">
        <v>0</v>
      </c>
      <c r="F94" s="3">
        <v>0</v>
      </c>
      <c r="G94" s="29">
        <v>0</v>
      </c>
      <c r="H94" s="19">
        <f>+'[2]Kiad-Mód'!F100</f>
        <v>0</v>
      </c>
      <c r="I94" s="9">
        <f t="shared" si="98"/>
        <v>0</v>
      </c>
      <c r="J94" s="9">
        <v>0</v>
      </c>
      <c r="K94" s="29">
        <f t="shared" si="99"/>
        <v>0</v>
      </c>
      <c r="L94" s="3">
        <v>0</v>
      </c>
      <c r="M94" s="26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565">
        <v>0</v>
      </c>
      <c r="T94" s="565">
        <v>2</v>
      </c>
      <c r="U94" s="565">
        <f t="shared" si="104"/>
        <v>2</v>
      </c>
      <c r="V94" s="565">
        <v>0</v>
      </c>
      <c r="W94" s="565">
        <f t="shared" si="105"/>
        <v>2</v>
      </c>
      <c r="X94" s="565">
        <v>0</v>
      </c>
      <c r="Y94" s="565">
        <f t="shared" si="106"/>
        <v>2</v>
      </c>
    </row>
    <row r="95" spans="1:25">
      <c r="A95" s="115">
        <f t="shared" si="88"/>
        <v>92</v>
      </c>
      <c r="B95" s="3"/>
      <c r="C95" s="3"/>
      <c r="D95" s="22" t="s">
        <v>520</v>
      </c>
      <c r="E95" s="19">
        <v>0</v>
      </c>
      <c r="F95" s="3">
        <v>0</v>
      </c>
      <c r="G95" s="29">
        <v>0</v>
      </c>
      <c r="H95" s="19">
        <f>+'[2]Kiad-Mód'!F101</f>
        <v>0</v>
      </c>
      <c r="I95" s="9">
        <f t="shared" si="98"/>
        <v>0</v>
      </c>
      <c r="J95" s="9">
        <v>0</v>
      </c>
      <c r="K95" s="29">
        <f t="shared" si="99"/>
        <v>0</v>
      </c>
      <c r="L95" s="3">
        <v>0</v>
      </c>
      <c r="M95" s="26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565">
        <v>0</v>
      </c>
      <c r="T95" s="565">
        <v>0</v>
      </c>
      <c r="U95" s="565">
        <f t="shared" si="104"/>
        <v>0</v>
      </c>
      <c r="V95" s="565">
        <v>0</v>
      </c>
      <c r="W95" s="565">
        <f t="shared" si="105"/>
        <v>0</v>
      </c>
      <c r="X95" s="565">
        <v>0</v>
      </c>
      <c r="Y95" s="565">
        <f t="shared" si="106"/>
        <v>0</v>
      </c>
    </row>
    <row r="96" spans="1:25">
      <c r="A96" s="115">
        <f t="shared" si="88"/>
        <v>93</v>
      </c>
      <c r="B96" s="3"/>
      <c r="C96" s="3"/>
      <c r="D96" s="22" t="s">
        <v>6</v>
      </c>
      <c r="E96" s="19">
        <v>0</v>
      </c>
      <c r="F96" s="3">
        <v>0</v>
      </c>
      <c r="G96" s="29">
        <v>0</v>
      </c>
      <c r="H96" s="19">
        <f>+'[2]Kiad-Mód'!F102</f>
        <v>0</v>
      </c>
      <c r="I96" s="9">
        <f t="shared" si="98"/>
        <v>0</v>
      </c>
      <c r="J96" s="9">
        <v>0</v>
      </c>
      <c r="K96" s="29">
        <f t="shared" si="99"/>
        <v>0</v>
      </c>
      <c r="L96" s="3">
        <v>0</v>
      </c>
      <c r="M96" s="26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565">
        <v>0</v>
      </c>
      <c r="T96" s="565">
        <v>0</v>
      </c>
      <c r="U96" s="565">
        <f t="shared" si="104"/>
        <v>0</v>
      </c>
      <c r="V96" s="565">
        <v>0</v>
      </c>
      <c r="W96" s="565">
        <f t="shared" si="105"/>
        <v>0</v>
      </c>
      <c r="X96" s="565">
        <v>0</v>
      </c>
      <c r="Y96" s="565">
        <f t="shared" si="106"/>
        <v>0</v>
      </c>
    </row>
    <row r="97" spans="1:25">
      <c r="A97" s="115">
        <f t="shared" si="88"/>
        <v>94</v>
      </c>
      <c r="B97" s="3"/>
      <c r="C97" s="3"/>
      <c r="D97" s="22" t="s">
        <v>7</v>
      </c>
      <c r="E97" s="19">
        <v>0</v>
      </c>
      <c r="F97" s="3">
        <v>0</v>
      </c>
      <c r="G97" s="29">
        <v>0</v>
      </c>
      <c r="H97" s="19">
        <f>+'[2]Kiad-Mód'!F103</f>
        <v>0</v>
      </c>
      <c r="I97" s="9">
        <f t="shared" si="98"/>
        <v>0</v>
      </c>
      <c r="J97" s="9">
        <v>0</v>
      </c>
      <c r="K97" s="29">
        <f t="shared" si="99"/>
        <v>0</v>
      </c>
      <c r="L97" s="3">
        <v>0</v>
      </c>
      <c r="M97" s="26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565">
        <v>0</v>
      </c>
      <c r="T97" s="565">
        <v>0</v>
      </c>
      <c r="U97" s="565">
        <f t="shared" si="104"/>
        <v>0</v>
      </c>
      <c r="V97" s="565">
        <v>0</v>
      </c>
      <c r="W97" s="565">
        <f t="shared" si="105"/>
        <v>0</v>
      </c>
      <c r="X97" s="565">
        <v>0</v>
      </c>
      <c r="Y97" s="565">
        <f t="shared" si="106"/>
        <v>0</v>
      </c>
    </row>
    <row r="98" spans="1:25">
      <c r="A98" s="115">
        <f t="shared" si="88"/>
        <v>95</v>
      </c>
      <c r="B98" s="16" t="s">
        <v>9</v>
      </c>
      <c r="C98" s="16"/>
      <c r="D98" s="16"/>
      <c r="E98" s="11">
        <f>SUM(E101,E100,E99)</f>
        <v>470</v>
      </c>
      <c r="F98" s="11">
        <f t="shared" ref="F98:H98" si="107">SUM(F101,F100,F99)</f>
        <v>3420</v>
      </c>
      <c r="G98" s="31">
        <f>SUM(G101,G100,G99)</f>
        <v>470</v>
      </c>
      <c r="H98" s="11">
        <f t="shared" si="107"/>
        <v>580</v>
      </c>
      <c r="I98" s="11">
        <f t="shared" si="98"/>
        <v>1050</v>
      </c>
      <c r="J98" s="11">
        <v>0</v>
      </c>
      <c r="K98" s="31">
        <f t="shared" si="99"/>
        <v>1050</v>
      </c>
      <c r="L98" s="16">
        <v>0</v>
      </c>
      <c r="M98" s="31">
        <v>1050</v>
      </c>
      <c r="N98" s="11">
        <f>N99</f>
        <v>1804</v>
      </c>
      <c r="O98" s="121">
        <f>SUM(O99:O101)</f>
        <v>1881</v>
      </c>
      <c r="P98" s="121">
        <f>SUM(P99:P101)</f>
        <v>5000</v>
      </c>
      <c r="Q98" s="121">
        <f>SUM(Q99:Q101)</f>
        <v>4410</v>
      </c>
      <c r="R98" s="121">
        <f>SUM(R99:R101)</f>
        <v>4890</v>
      </c>
      <c r="S98" s="122">
        <f>SUM(S99:S101)</f>
        <v>4200</v>
      </c>
      <c r="T98" s="122">
        <f t="shared" ref="T98:Y98" si="108">SUM(T99:T101)</f>
        <v>-2</v>
      </c>
      <c r="U98" s="122">
        <f t="shared" si="108"/>
        <v>4198</v>
      </c>
      <c r="V98" s="122">
        <f t="shared" si="108"/>
        <v>0</v>
      </c>
      <c r="W98" s="122">
        <f t="shared" si="108"/>
        <v>4198</v>
      </c>
      <c r="X98" s="122">
        <f t="shared" si="108"/>
        <v>0</v>
      </c>
      <c r="Y98" s="122">
        <f t="shared" si="108"/>
        <v>4198</v>
      </c>
    </row>
    <row r="99" spans="1:25">
      <c r="A99" s="115">
        <f t="shared" si="88"/>
        <v>96</v>
      </c>
      <c r="B99" s="3"/>
      <c r="C99" s="3" t="s">
        <v>10</v>
      </c>
      <c r="D99" s="3"/>
      <c r="E99" s="9">
        <v>470</v>
      </c>
      <c r="F99" s="35">
        <v>3420</v>
      </c>
      <c r="G99" s="29">
        <v>470</v>
      </c>
      <c r="H99" s="9">
        <v>580</v>
      </c>
      <c r="I99" s="9">
        <f t="shared" si="98"/>
        <v>1050</v>
      </c>
      <c r="J99" s="9">
        <v>0</v>
      </c>
      <c r="K99" s="29">
        <f t="shared" si="99"/>
        <v>1050</v>
      </c>
      <c r="L99" s="3">
        <v>0</v>
      </c>
      <c r="M99" s="29">
        <v>1050</v>
      </c>
      <c r="N99" s="9">
        <v>1804</v>
      </c>
      <c r="O99" s="9">
        <v>1881</v>
      </c>
      <c r="P99" s="9">
        <v>5000</v>
      </c>
      <c r="Q99" s="9">
        <v>4410</v>
      </c>
      <c r="R99" s="9">
        <v>4890</v>
      </c>
      <c r="S99" s="565">
        <v>4200</v>
      </c>
      <c r="T99" s="565">
        <v>-2</v>
      </c>
      <c r="U99" s="565">
        <f t="shared" ref="U99:U100" si="109">SUM(S99:T99)</f>
        <v>4198</v>
      </c>
      <c r="V99" s="565">
        <v>0</v>
      </c>
      <c r="W99" s="565">
        <f t="shared" ref="W99:W100" si="110">SUM(U99:V99)</f>
        <v>4198</v>
      </c>
      <c r="X99" s="565">
        <v>0</v>
      </c>
      <c r="Y99" s="565">
        <f t="shared" ref="Y99:Y100" si="111">SUM(W99:X99)</f>
        <v>4198</v>
      </c>
    </row>
    <row r="100" spans="1:25">
      <c r="A100" s="115">
        <f t="shared" si="88"/>
        <v>97</v>
      </c>
      <c r="B100" s="3"/>
      <c r="C100" s="3" t="s">
        <v>11</v>
      </c>
      <c r="D100" s="3"/>
      <c r="E100" s="9">
        <v>0</v>
      </c>
      <c r="F100" s="3">
        <v>0</v>
      </c>
      <c r="G100" s="29">
        <v>0</v>
      </c>
      <c r="H100" s="9">
        <f>+'[2]Kiad-Mód'!F106</f>
        <v>0</v>
      </c>
      <c r="I100" s="9">
        <f t="shared" si="98"/>
        <v>0</v>
      </c>
      <c r="J100" s="9">
        <v>0</v>
      </c>
      <c r="K100" s="29">
        <f t="shared" si="99"/>
        <v>0</v>
      </c>
      <c r="L100" s="3">
        <v>0</v>
      </c>
      <c r="M100" s="26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565">
        <v>0</v>
      </c>
      <c r="T100" s="565">
        <v>0</v>
      </c>
      <c r="U100" s="565">
        <f t="shared" si="109"/>
        <v>0</v>
      </c>
      <c r="V100" s="565">
        <v>0</v>
      </c>
      <c r="W100" s="565">
        <f t="shared" si="110"/>
        <v>0</v>
      </c>
      <c r="X100" s="565">
        <v>0</v>
      </c>
      <c r="Y100" s="565">
        <f t="shared" si="111"/>
        <v>0</v>
      </c>
    </row>
    <row r="101" spans="1:25">
      <c r="A101" s="115">
        <f t="shared" si="88"/>
        <v>98</v>
      </c>
      <c r="B101" s="3"/>
      <c r="C101" s="3" t="s">
        <v>12</v>
      </c>
      <c r="D101" s="3"/>
      <c r="E101" s="9">
        <f>SUM(E102:E104)</f>
        <v>0</v>
      </c>
      <c r="F101" s="3">
        <v>0</v>
      </c>
      <c r="G101" s="29">
        <v>0</v>
      </c>
      <c r="H101" s="9">
        <f>SUM(H102:H104)</f>
        <v>0</v>
      </c>
      <c r="I101" s="9">
        <f t="shared" si="98"/>
        <v>0</v>
      </c>
      <c r="J101" s="9">
        <v>0</v>
      </c>
      <c r="K101" s="29">
        <f t="shared" si="99"/>
        <v>0</v>
      </c>
      <c r="L101" s="3">
        <v>0</v>
      </c>
      <c r="M101" s="26">
        <v>0</v>
      </c>
      <c r="N101" s="9">
        <v>0</v>
      </c>
      <c r="O101" s="120">
        <f>SUM(O102:O104)</f>
        <v>0</v>
      </c>
      <c r="P101" s="120">
        <f>SUM(P102:P104)</f>
        <v>0</v>
      </c>
      <c r="Q101" s="120">
        <f>SUM(Q102:Q104)</f>
        <v>0</v>
      </c>
      <c r="R101" s="120">
        <f>SUM(R102:R104)</f>
        <v>0</v>
      </c>
      <c r="S101" s="568">
        <f>SUM(S102:S104)</f>
        <v>0</v>
      </c>
      <c r="T101" s="568">
        <f t="shared" ref="T101:Y101" si="112">SUM(T102:T104)</f>
        <v>0</v>
      </c>
      <c r="U101" s="568">
        <f t="shared" si="112"/>
        <v>0</v>
      </c>
      <c r="V101" s="568">
        <f t="shared" si="112"/>
        <v>0</v>
      </c>
      <c r="W101" s="568">
        <f t="shared" si="112"/>
        <v>0</v>
      </c>
      <c r="X101" s="568">
        <f t="shared" si="112"/>
        <v>0</v>
      </c>
      <c r="Y101" s="568">
        <f t="shared" si="112"/>
        <v>0</v>
      </c>
    </row>
    <row r="102" spans="1:25">
      <c r="A102" s="115">
        <f t="shared" si="88"/>
        <v>99</v>
      </c>
      <c r="B102" s="3"/>
      <c r="C102" s="3"/>
      <c r="D102" s="22" t="s">
        <v>13</v>
      </c>
      <c r="E102" s="19">
        <v>0</v>
      </c>
      <c r="F102" s="3">
        <v>0</v>
      </c>
      <c r="G102" s="29">
        <v>0</v>
      </c>
      <c r="H102" s="19">
        <f>+'[2]Kiad-Mód'!F108</f>
        <v>0</v>
      </c>
      <c r="I102" s="9">
        <f t="shared" si="98"/>
        <v>0</v>
      </c>
      <c r="J102" s="9">
        <v>0</v>
      </c>
      <c r="K102" s="29">
        <f t="shared" si="99"/>
        <v>0</v>
      </c>
      <c r="L102" s="3">
        <v>0</v>
      </c>
      <c r="M102" s="26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565">
        <v>0</v>
      </c>
      <c r="T102" s="565">
        <v>0</v>
      </c>
      <c r="U102" s="565">
        <f t="shared" ref="U102:U104" si="113">SUM(S102:T102)</f>
        <v>0</v>
      </c>
      <c r="V102" s="565">
        <v>0</v>
      </c>
      <c r="W102" s="565">
        <f t="shared" ref="W102:W104" si="114">SUM(U102:V102)</f>
        <v>0</v>
      </c>
      <c r="X102" s="565">
        <v>0</v>
      </c>
      <c r="Y102" s="565">
        <f t="shared" ref="Y102:Y104" si="115">SUM(W102:X102)</f>
        <v>0</v>
      </c>
    </row>
    <row r="103" spans="1:25" ht="30">
      <c r="A103" s="115">
        <f t="shared" si="88"/>
        <v>100</v>
      </c>
      <c r="B103" s="3"/>
      <c r="C103" s="3"/>
      <c r="D103" s="18" t="s">
        <v>503</v>
      </c>
      <c r="E103" s="19">
        <v>0</v>
      </c>
      <c r="F103" s="3">
        <v>0</v>
      </c>
      <c r="G103" s="29">
        <v>0</v>
      </c>
      <c r="H103" s="19">
        <f>+'[2]Kiad-Mód'!F109</f>
        <v>0</v>
      </c>
      <c r="I103" s="9">
        <f t="shared" si="98"/>
        <v>0</v>
      </c>
      <c r="J103" s="9">
        <v>0</v>
      </c>
      <c r="K103" s="29">
        <f t="shared" si="99"/>
        <v>0</v>
      </c>
      <c r="L103" s="3">
        <v>0</v>
      </c>
      <c r="M103" s="26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565">
        <v>0</v>
      </c>
      <c r="T103" s="565">
        <v>0</v>
      </c>
      <c r="U103" s="565">
        <f t="shared" si="113"/>
        <v>0</v>
      </c>
      <c r="V103" s="565">
        <v>0</v>
      </c>
      <c r="W103" s="565">
        <f t="shared" si="114"/>
        <v>0</v>
      </c>
      <c r="X103" s="565">
        <v>0</v>
      </c>
      <c r="Y103" s="565">
        <f t="shared" si="115"/>
        <v>0</v>
      </c>
    </row>
    <row r="104" spans="1:25">
      <c r="A104" s="115">
        <f t="shared" si="88"/>
        <v>101</v>
      </c>
      <c r="B104" s="3"/>
      <c r="C104" s="3"/>
      <c r="D104" s="22" t="s">
        <v>14</v>
      </c>
      <c r="E104" s="19">
        <v>0</v>
      </c>
      <c r="F104" s="3">
        <v>0</v>
      </c>
      <c r="G104" s="29">
        <v>0</v>
      </c>
      <c r="H104" s="19">
        <f>+'[2]Kiad-Mód'!F110</f>
        <v>0</v>
      </c>
      <c r="I104" s="9">
        <f t="shared" si="98"/>
        <v>0</v>
      </c>
      <c r="J104" s="9">
        <v>0</v>
      </c>
      <c r="K104" s="29">
        <f t="shared" si="99"/>
        <v>0</v>
      </c>
      <c r="L104" s="3">
        <v>0</v>
      </c>
      <c r="M104" s="26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565">
        <v>0</v>
      </c>
      <c r="T104" s="565">
        <v>0</v>
      </c>
      <c r="U104" s="565">
        <f t="shared" si="113"/>
        <v>0</v>
      </c>
      <c r="V104" s="565">
        <v>0</v>
      </c>
      <c r="W104" s="565">
        <f t="shared" si="114"/>
        <v>0</v>
      </c>
      <c r="X104" s="565">
        <v>0</v>
      </c>
      <c r="Y104" s="565">
        <f t="shared" si="115"/>
        <v>0</v>
      </c>
    </row>
    <row r="105" spans="1:25">
      <c r="A105" s="115">
        <f t="shared" si="88"/>
        <v>102</v>
      </c>
      <c r="B105" s="16" t="s">
        <v>15</v>
      </c>
      <c r="C105" s="16"/>
      <c r="D105" s="16"/>
      <c r="E105" s="11">
        <f>SUM(E106:E108)</f>
        <v>0</v>
      </c>
      <c r="F105" s="3">
        <v>0</v>
      </c>
      <c r="G105" s="109">
        <v>0</v>
      </c>
      <c r="H105" s="11">
        <f>SUM(H106:H108)</f>
        <v>0</v>
      </c>
      <c r="I105" s="9">
        <f t="shared" si="98"/>
        <v>0</v>
      </c>
      <c r="J105" s="9">
        <v>0</v>
      </c>
      <c r="K105" s="29">
        <f t="shared" si="99"/>
        <v>0</v>
      </c>
      <c r="L105" s="3">
        <v>0</v>
      </c>
      <c r="M105" s="26">
        <v>0</v>
      </c>
      <c r="N105" s="9">
        <v>0</v>
      </c>
      <c r="O105" s="121">
        <f>SUM(O106:O108)</f>
        <v>0</v>
      </c>
      <c r="P105" s="121">
        <f>SUM(P106:P108)</f>
        <v>0</v>
      </c>
      <c r="Q105" s="121">
        <f>SUM(Q106:Q108)</f>
        <v>0</v>
      </c>
      <c r="R105" s="121">
        <f>SUM(R106:R108)</f>
        <v>0</v>
      </c>
      <c r="S105" s="122">
        <f>SUM(S106:S108)</f>
        <v>0</v>
      </c>
      <c r="T105" s="122">
        <f t="shared" ref="T105:Y105" si="116">SUM(T106:T108)</f>
        <v>0</v>
      </c>
      <c r="U105" s="122">
        <f t="shared" si="116"/>
        <v>0</v>
      </c>
      <c r="V105" s="122">
        <f t="shared" si="116"/>
        <v>0</v>
      </c>
      <c r="W105" s="122">
        <f t="shared" si="116"/>
        <v>0</v>
      </c>
      <c r="X105" s="122">
        <f t="shared" si="116"/>
        <v>0</v>
      </c>
      <c r="Y105" s="122">
        <f t="shared" si="116"/>
        <v>0</v>
      </c>
    </row>
    <row r="106" spans="1:25">
      <c r="A106" s="115">
        <f t="shared" si="88"/>
        <v>103</v>
      </c>
      <c r="B106" s="3"/>
      <c r="C106" s="3" t="s">
        <v>16</v>
      </c>
      <c r="D106" s="3"/>
      <c r="E106" s="9">
        <v>0</v>
      </c>
      <c r="F106" s="3">
        <v>0</v>
      </c>
      <c r="G106" s="29">
        <v>0</v>
      </c>
      <c r="H106" s="9">
        <f>+'[2]Kiad-Mód'!F112</f>
        <v>0</v>
      </c>
      <c r="I106" s="9">
        <f t="shared" si="98"/>
        <v>0</v>
      </c>
      <c r="J106" s="9">
        <v>0</v>
      </c>
      <c r="K106" s="29">
        <f t="shared" si="99"/>
        <v>0</v>
      </c>
      <c r="L106" s="3">
        <v>0</v>
      </c>
      <c r="M106" s="26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565">
        <v>0</v>
      </c>
      <c r="T106" s="565">
        <v>0</v>
      </c>
      <c r="U106" s="565">
        <f t="shared" ref="U106:U108" si="117">SUM(S106:T106)</f>
        <v>0</v>
      </c>
      <c r="V106" s="565">
        <v>0</v>
      </c>
      <c r="W106" s="565">
        <f t="shared" ref="W106:W108" si="118">SUM(U106:V106)</f>
        <v>0</v>
      </c>
      <c r="X106" s="565">
        <v>0</v>
      </c>
      <c r="Y106" s="565">
        <f t="shared" ref="Y106:Y108" si="119">SUM(W106:X106)</f>
        <v>0</v>
      </c>
    </row>
    <row r="107" spans="1:25">
      <c r="A107" s="115">
        <f t="shared" si="88"/>
        <v>104</v>
      </c>
      <c r="B107" s="3"/>
      <c r="C107" s="3" t="s">
        <v>17</v>
      </c>
      <c r="D107" s="3"/>
      <c r="E107" s="9">
        <v>0</v>
      </c>
      <c r="F107" s="3">
        <v>0</v>
      </c>
      <c r="G107" s="29">
        <v>0</v>
      </c>
      <c r="H107" s="9">
        <f>+'[2]Kiad-Mód'!F113</f>
        <v>0</v>
      </c>
      <c r="I107" s="9">
        <f t="shared" si="98"/>
        <v>0</v>
      </c>
      <c r="J107" s="9">
        <v>0</v>
      </c>
      <c r="K107" s="29">
        <f t="shared" si="99"/>
        <v>0</v>
      </c>
      <c r="L107" s="3">
        <v>0</v>
      </c>
      <c r="M107" s="26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565">
        <v>0</v>
      </c>
      <c r="T107" s="565">
        <v>0</v>
      </c>
      <c r="U107" s="565">
        <f t="shared" si="117"/>
        <v>0</v>
      </c>
      <c r="V107" s="565">
        <v>0</v>
      </c>
      <c r="W107" s="565">
        <f t="shared" si="118"/>
        <v>0</v>
      </c>
      <c r="X107" s="565">
        <v>0</v>
      </c>
      <c r="Y107" s="565">
        <f t="shared" si="119"/>
        <v>0</v>
      </c>
    </row>
    <row r="108" spans="1:25">
      <c r="A108" s="115">
        <f t="shared" si="88"/>
        <v>105</v>
      </c>
      <c r="B108" s="3"/>
      <c r="C108" s="3" t="s">
        <v>18</v>
      </c>
      <c r="D108" s="3"/>
      <c r="E108" s="9">
        <v>0</v>
      </c>
      <c r="F108" s="3">
        <v>0</v>
      </c>
      <c r="G108" s="29">
        <v>0</v>
      </c>
      <c r="H108" s="9">
        <f>+'[2]Kiad-Mód'!F114</f>
        <v>0</v>
      </c>
      <c r="I108" s="9">
        <f t="shared" si="98"/>
        <v>0</v>
      </c>
      <c r="J108" s="9">
        <v>0</v>
      </c>
      <c r="K108" s="29">
        <f t="shared" si="99"/>
        <v>0</v>
      </c>
      <c r="L108" s="3">
        <v>0</v>
      </c>
      <c r="M108" s="26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565">
        <v>0</v>
      </c>
      <c r="T108" s="565">
        <v>0</v>
      </c>
      <c r="U108" s="565">
        <f t="shared" si="117"/>
        <v>0</v>
      </c>
      <c r="V108" s="565">
        <v>0</v>
      </c>
      <c r="W108" s="565">
        <f t="shared" si="118"/>
        <v>0</v>
      </c>
      <c r="X108" s="565">
        <v>0</v>
      </c>
      <c r="Y108" s="565">
        <f t="shared" si="119"/>
        <v>0</v>
      </c>
    </row>
    <row r="109" spans="1:25">
      <c r="A109" s="115">
        <f t="shared" si="88"/>
        <v>106</v>
      </c>
      <c r="B109" s="16" t="s">
        <v>19</v>
      </c>
      <c r="C109" s="16"/>
      <c r="D109" s="16"/>
      <c r="E109" s="11">
        <f>SUM(E87,E98,E105)</f>
        <v>78235</v>
      </c>
      <c r="F109" s="11">
        <f t="shared" ref="F109:G109" si="120">SUM(F87,F98,F105)</f>
        <v>121852</v>
      </c>
      <c r="G109" s="31">
        <f t="shared" si="120"/>
        <v>86828</v>
      </c>
      <c r="H109" s="11">
        <f>SUM(H87,H98,H105)</f>
        <v>26128</v>
      </c>
      <c r="I109" s="11">
        <f t="shared" si="98"/>
        <v>112956</v>
      </c>
      <c r="J109" s="11">
        <f>J87</f>
        <v>6674</v>
      </c>
      <c r="K109" s="31">
        <f>K98+K87</f>
        <v>119630</v>
      </c>
      <c r="L109" s="11">
        <f>L87</f>
        <v>17181</v>
      </c>
      <c r="M109" s="31">
        <f>M98+M87</f>
        <v>136811</v>
      </c>
      <c r="N109" s="11">
        <f>N87+N98+N105</f>
        <v>97100</v>
      </c>
      <c r="O109" s="122">
        <f>SUM(O105,O98,O87)</f>
        <v>81560</v>
      </c>
      <c r="P109" s="122">
        <f>SUM(P105,P98,P87)</f>
        <v>97607</v>
      </c>
      <c r="Q109" s="122">
        <f>SUM(Q105,Q98,Q87)</f>
        <v>122550</v>
      </c>
      <c r="R109" s="122">
        <f>SUM(R105,R98,R87)</f>
        <v>147917</v>
      </c>
      <c r="S109" s="122">
        <f>SUM(S105,S98,S87)</f>
        <v>137597</v>
      </c>
      <c r="T109" s="122">
        <f t="shared" ref="T109:Y109" si="121">SUM(T105,T98,T87)</f>
        <v>8870</v>
      </c>
      <c r="U109" s="122">
        <f t="shared" si="121"/>
        <v>146467</v>
      </c>
      <c r="V109" s="122">
        <f t="shared" si="121"/>
        <v>4095</v>
      </c>
      <c r="W109" s="122">
        <f t="shared" si="121"/>
        <v>150562</v>
      </c>
      <c r="X109" s="122">
        <f t="shared" si="121"/>
        <v>3078</v>
      </c>
      <c r="Y109" s="122">
        <f t="shared" si="121"/>
        <v>153640</v>
      </c>
    </row>
    <row r="110" spans="1:25" ht="93.75" customHeight="1">
      <c r="A110" s="115">
        <f t="shared" si="88"/>
        <v>107</v>
      </c>
      <c r="B110" s="16" t="s">
        <v>101</v>
      </c>
      <c r="C110" s="3"/>
      <c r="D110" s="3"/>
      <c r="E110" s="15" t="s">
        <v>108</v>
      </c>
      <c r="F110" s="6" t="s">
        <v>113</v>
      </c>
      <c r="G110" s="25" t="s">
        <v>114</v>
      </c>
      <c r="H110" s="24" t="s">
        <v>111</v>
      </c>
      <c r="I110" s="6" t="s">
        <v>116</v>
      </c>
      <c r="J110" s="6" t="s">
        <v>111</v>
      </c>
      <c r="K110" s="76" t="s">
        <v>256</v>
      </c>
      <c r="L110" s="6" t="s">
        <v>111</v>
      </c>
      <c r="M110" s="76" t="s">
        <v>260</v>
      </c>
      <c r="N110" s="6" t="str">
        <f t="shared" ref="N110:R110" si="122">N$4</f>
        <v>Előirányzat
4/2020. (III.05.) önkormányzati rendelet</v>
      </c>
      <c r="O110" s="6" t="str">
        <f t="shared" si="122"/>
        <v>Előirányzat
 5./2021. (II.25.) polgármesteri rendelet</v>
      </c>
      <c r="P110" s="6" t="str">
        <f t="shared" si="122"/>
        <v>Előirányzat
3/2022. (II.10.) önkormányzati rendelet</v>
      </c>
      <c r="Q110" s="6" t="str">
        <f t="shared" si="122"/>
        <v>Előirányzat
1./2023. (II.23.) önkormányzati rendelet</v>
      </c>
      <c r="R110" s="6" t="str">
        <f t="shared" si="122"/>
        <v>Előirányzat
1./2024. (II)22. önkormányzati rendelet</v>
      </c>
      <c r="S110" s="562" t="str">
        <f ca="1">S$4</f>
        <v>Előirányzat
2/2025. (II.20.) önkormányzati rendelet</v>
      </c>
      <c r="T110" s="562" t="s">
        <v>111</v>
      </c>
      <c r="U110" s="562" t="str">
        <f>U84</f>
        <v>Előirányzat 13/2025. (VI.26.) önkormányzati rendelet</v>
      </c>
      <c r="V110" s="562" t="s">
        <v>111</v>
      </c>
      <c r="W110" s="562" t="str">
        <f>W4</f>
        <v>Előirányzat 16/2025. (IX.25.) önkormányzati rendelet</v>
      </c>
      <c r="X110" s="562" t="s">
        <v>111</v>
      </c>
      <c r="Y110" s="562" t="s">
        <v>582</v>
      </c>
    </row>
    <row r="111" spans="1:25">
      <c r="A111" s="115">
        <f t="shared" si="88"/>
        <v>108</v>
      </c>
      <c r="B111" s="16" t="s">
        <v>25</v>
      </c>
      <c r="C111" s="3"/>
      <c r="D111" s="3"/>
      <c r="E111" s="9"/>
      <c r="F111" s="3"/>
      <c r="G111" s="29"/>
      <c r="H111" s="3"/>
      <c r="I111" s="3"/>
      <c r="J111" s="9"/>
      <c r="K111" s="29"/>
      <c r="L111" s="3"/>
      <c r="M111" s="26"/>
      <c r="N111" s="3"/>
      <c r="O111" s="9"/>
      <c r="P111" s="9"/>
      <c r="Q111" s="9"/>
      <c r="R111" s="9"/>
      <c r="S111" s="565"/>
      <c r="T111" s="565"/>
      <c r="U111" s="565"/>
      <c r="V111" s="565"/>
      <c r="W111" s="565"/>
      <c r="X111" s="565"/>
      <c r="Y111" s="565"/>
    </row>
    <row r="112" spans="1:25">
      <c r="A112" s="115">
        <f t="shared" si="88"/>
        <v>109</v>
      </c>
      <c r="B112" s="16"/>
      <c r="C112" s="3" t="s">
        <v>26</v>
      </c>
      <c r="D112" s="3"/>
      <c r="E112" s="9"/>
      <c r="F112" s="3"/>
      <c r="G112" s="29"/>
      <c r="H112" s="3"/>
      <c r="I112" s="3"/>
      <c r="J112" s="9"/>
      <c r="K112" s="29"/>
      <c r="L112" s="3"/>
      <c r="M112" s="26"/>
      <c r="N112" s="3"/>
      <c r="O112" s="9"/>
      <c r="P112" s="9"/>
      <c r="Q112" s="9"/>
      <c r="R112" s="9"/>
      <c r="S112" s="565"/>
      <c r="T112" s="565"/>
      <c r="U112" s="565"/>
      <c r="V112" s="565"/>
      <c r="W112" s="565"/>
      <c r="X112" s="565"/>
      <c r="Y112" s="565"/>
    </row>
    <row r="113" spans="1:25">
      <c r="A113" s="115">
        <f t="shared" si="88"/>
        <v>110</v>
      </c>
      <c r="B113" s="16" t="s">
        <v>8</v>
      </c>
      <c r="C113" s="16"/>
      <c r="D113" s="16"/>
      <c r="E113" s="11">
        <f>SUM(E118,E117,E116,E115,E114)</f>
        <v>410747</v>
      </c>
      <c r="F113" s="11">
        <f t="shared" ref="F113:G113" si="123">SUM(F118,F117,F116,F115,F114)</f>
        <v>525948</v>
      </c>
      <c r="G113" s="31">
        <f t="shared" si="123"/>
        <v>486046</v>
      </c>
      <c r="H113" s="11">
        <f>SUM(H118,H117,H116,H115,H114)</f>
        <v>40521</v>
      </c>
      <c r="I113" s="11">
        <f>G113+H113</f>
        <v>526567</v>
      </c>
      <c r="J113" s="11">
        <f>J114+J115+J116</f>
        <v>16227</v>
      </c>
      <c r="K113" s="31">
        <f>J113+I113</f>
        <v>542794</v>
      </c>
      <c r="L113" s="11">
        <v>5763</v>
      </c>
      <c r="M113" s="31">
        <f>K113+L113</f>
        <v>548557</v>
      </c>
      <c r="N113" s="11">
        <f>N114+N115+N116</f>
        <v>553813</v>
      </c>
      <c r="O113" s="121">
        <f>SUM(O114:O118)</f>
        <v>569165</v>
      </c>
      <c r="P113" s="121">
        <f>SUM(P114:P118)</f>
        <v>724088</v>
      </c>
      <c r="Q113" s="121">
        <f>SUM(Q114:Q118)</f>
        <v>790103</v>
      </c>
      <c r="R113" s="121">
        <f>SUM(R114:R118)</f>
        <v>872697</v>
      </c>
      <c r="S113" s="122">
        <f>SUM(S114:S118)</f>
        <v>915764</v>
      </c>
      <c r="T113" s="122">
        <f t="shared" ref="T113:Y113" si="124">SUM(T114:T118)</f>
        <v>33531</v>
      </c>
      <c r="U113" s="122">
        <f t="shared" si="124"/>
        <v>949295</v>
      </c>
      <c r="V113" s="122">
        <f t="shared" si="124"/>
        <v>27130</v>
      </c>
      <c r="W113" s="122">
        <f t="shared" si="124"/>
        <v>976425</v>
      </c>
      <c r="X113" s="122">
        <f t="shared" si="124"/>
        <v>14092</v>
      </c>
      <c r="Y113" s="122">
        <f t="shared" si="124"/>
        <v>990517</v>
      </c>
    </row>
    <row r="114" spans="1:25">
      <c r="A114" s="115">
        <f t="shared" si="88"/>
        <v>111</v>
      </c>
      <c r="B114" s="3"/>
      <c r="C114" s="3" t="s">
        <v>2</v>
      </c>
      <c r="D114" s="3"/>
      <c r="E114" s="9">
        <v>265256</v>
      </c>
      <c r="F114" s="9">
        <v>320318</v>
      </c>
      <c r="G114" s="29">
        <v>321100</v>
      </c>
      <c r="H114" s="9">
        <v>21080</v>
      </c>
      <c r="I114" s="9">
        <f t="shared" ref="I114:I135" si="125">G114+H114</f>
        <v>342180</v>
      </c>
      <c r="J114" s="9">
        <f>796+9561+1028+1350-3000</f>
        <v>9735</v>
      </c>
      <c r="K114" s="29">
        <f>J114+I114</f>
        <v>351915</v>
      </c>
      <c r="L114" s="9">
        <v>4905</v>
      </c>
      <c r="M114" s="29">
        <f>K114+L114</f>
        <v>356820</v>
      </c>
      <c r="N114" s="9">
        <v>391898</v>
      </c>
      <c r="O114" s="9">
        <v>392437</v>
      </c>
      <c r="P114" s="9">
        <v>495586</v>
      </c>
      <c r="Q114" s="9">
        <v>507865</v>
      </c>
      <c r="R114" s="9">
        <v>566916</v>
      </c>
      <c r="S114" s="565">
        <v>600666</v>
      </c>
      <c r="T114" s="565">
        <v>27733</v>
      </c>
      <c r="U114" s="565">
        <f t="shared" ref="U114:U117" si="126">SUM(S114:T114)</f>
        <v>628399</v>
      </c>
      <c r="V114" s="565">
        <v>14277</v>
      </c>
      <c r="W114" s="565">
        <f t="shared" ref="W114:W117" si="127">SUM(U114:V114)</f>
        <v>642676</v>
      </c>
      <c r="X114" s="565">
        <v>12471</v>
      </c>
      <c r="Y114" s="565">
        <f t="shared" ref="Y114:Y117" si="128">SUM(W114:X114)</f>
        <v>655147</v>
      </c>
    </row>
    <row r="115" spans="1:25">
      <c r="A115" s="115">
        <f t="shared" si="88"/>
        <v>112</v>
      </c>
      <c r="B115" s="3"/>
      <c r="C115" s="3" t="s">
        <v>1</v>
      </c>
      <c r="D115" s="3"/>
      <c r="E115" s="9">
        <v>52232</v>
      </c>
      <c r="F115" s="9">
        <v>67636</v>
      </c>
      <c r="G115" s="29">
        <v>62718</v>
      </c>
      <c r="H115" s="9">
        <v>4304</v>
      </c>
      <c r="I115" s="9">
        <f t="shared" si="125"/>
        <v>67022</v>
      </c>
      <c r="J115" s="9">
        <f>155+1864+235</f>
        <v>2254</v>
      </c>
      <c r="K115" s="29">
        <f>J115+I115</f>
        <v>69276</v>
      </c>
      <c r="L115" s="3">
        <v>858</v>
      </c>
      <c r="M115" s="29">
        <f>K115+L115</f>
        <v>70134</v>
      </c>
      <c r="N115" s="9">
        <v>68546</v>
      </c>
      <c r="O115" s="9">
        <v>63084</v>
      </c>
      <c r="P115" s="9">
        <v>73727</v>
      </c>
      <c r="Q115" s="9">
        <v>73427</v>
      </c>
      <c r="R115" s="9">
        <v>87159</v>
      </c>
      <c r="S115" s="565">
        <v>92870</v>
      </c>
      <c r="T115" s="565">
        <v>3605</v>
      </c>
      <c r="U115" s="565">
        <f t="shared" si="126"/>
        <v>96475</v>
      </c>
      <c r="V115" s="565">
        <v>3467</v>
      </c>
      <c r="W115" s="565">
        <f t="shared" si="127"/>
        <v>99942</v>
      </c>
      <c r="X115" s="565">
        <v>1621</v>
      </c>
      <c r="Y115" s="565">
        <f t="shared" si="128"/>
        <v>101563</v>
      </c>
    </row>
    <row r="116" spans="1:25">
      <c r="A116" s="115">
        <f t="shared" si="88"/>
        <v>113</v>
      </c>
      <c r="B116" s="3"/>
      <c r="C116" s="3" t="s">
        <v>4</v>
      </c>
      <c r="D116" s="3"/>
      <c r="E116" s="9">
        <v>93259</v>
      </c>
      <c r="F116" s="9">
        <v>136292</v>
      </c>
      <c r="G116" s="29">
        <v>102228</v>
      </c>
      <c r="H116" s="9">
        <v>15137</v>
      </c>
      <c r="I116" s="9">
        <f t="shared" si="125"/>
        <v>117365</v>
      </c>
      <c r="J116" s="9">
        <f>1150+3088</f>
        <v>4238</v>
      </c>
      <c r="K116" s="29">
        <f>J116+I116</f>
        <v>121603</v>
      </c>
      <c r="L116" s="3">
        <v>0</v>
      </c>
      <c r="M116" s="29">
        <v>121603</v>
      </c>
      <c r="N116" s="9">
        <v>93369</v>
      </c>
      <c r="O116" s="9">
        <v>113644</v>
      </c>
      <c r="P116" s="9">
        <v>154775</v>
      </c>
      <c r="Q116" s="9">
        <v>208811</v>
      </c>
      <c r="R116" s="9">
        <v>218622</v>
      </c>
      <c r="S116" s="565">
        <v>222228</v>
      </c>
      <c r="T116" s="565">
        <v>2193</v>
      </c>
      <c r="U116" s="565">
        <f t="shared" si="126"/>
        <v>224421</v>
      </c>
      <c r="V116" s="565">
        <v>9386</v>
      </c>
      <c r="W116" s="565">
        <f t="shared" si="127"/>
        <v>233807</v>
      </c>
      <c r="X116" s="565">
        <v>0</v>
      </c>
      <c r="Y116" s="565">
        <f t="shared" si="128"/>
        <v>233807</v>
      </c>
    </row>
    <row r="117" spans="1:25">
      <c r="A117" s="115">
        <f t="shared" si="88"/>
        <v>114</v>
      </c>
      <c r="B117" s="3"/>
      <c r="C117" s="3" t="s">
        <v>3</v>
      </c>
      <c r="D117" s="3"/>
      <c r="E117" s="9">
        <v>0</v>
      </c>
      <c r="F117" s="3">
        <v>0</v>
      </c>
      <c r="G117" s="29">
        <v>0</v>
      </c>
      <c r="H117" s="9">
        <f>+'[2]Kiad-Mód'!F125</f>
        <v>0</v>
      </c>
      <c r="I117" s="9">
        <f t="shared" si="125"/>
        <v>0</v>
      </c>
      <c r="J117" s="9">
        <v>0</v>
      </c>
      <c r="K117" s="29">
        <v>0</v>
      </c>
      <c r="L117" s="3">
        <v>0</v>
      </c>
      <c r="M117" s="26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565">
        <v>0</v>
      </c>
      <c r="T117" s="565">
        <v>0</v>
      </c>
      <c r="U117" s="565">
        <f t="shared" si="126"/>
        <v>0</v>
      </c>
      <c r="V117" s="565">
        <v>0</v>
      </c>
      <c r="W117" s="565">
        <f t="shared" si="127"/>
        <v>0</v>
      </c>
      <c r="X117" s="565">
        <v>0</v>
      </c>
      <c r="Y117" s="565">
        <f t="shared" si="128"/>
        <v>0</v>
      </c>
    </row>
    <row r="118" spans="1:25">
      <c r="A118" s="115">
        <f t="shared" si="88"/>
        <v>115</v>
      </c>
      <c r="B118" s="3"/>
      <c r="C118" s="3" t="s">
        <v>5</v>
      </c>
      <c r="D118" s="3"/>
      <c r="E118" s="9">
        <f>SUM(E119:E123)</f>
        <v>0</v>
      </c>
      <c r="F118" s="16">
        <v>1702</v>
      </c>
      <c r="G118" s="29">
        <v>0</v>
      </c>
      <c r="H118" s="9">
        <f>SUM(H119:H123)</f>
        <v>0</v>
      </c>
      <c r="I118" s="9">
        <f t="shared" si="125"/>
        <v>0</v>
      </c>
      <c r="J118" s="9">
        <v>0</v>
      </c>
      <c r="K118" s="29">
        <v>0</v>
      </c>
      <c r="L118" s="3">
        <v>0</v>
      </c>
      <c r="M118" s="26">
        <v>0</v>
      </c>
      <c r="N118" s="9">
        <v>0</v>
      </c>
      <c r="O118" s="120">
        <f>SUM(O119:O123)</f>
        <v>0</v>
      </c>
      <c r="P118" s="120">
        <f>SUM(P119:P123)</f>
        <v>0</v>
      </c>
      <c r="Q118" s="120">
        <f>SUM(Q119:Q123)</f>
        <v>0</v>
      </c>
      <c r="R118" s="120">
        <f>SUM(R119:R123)</f>
        <v>0</v>
      </c>
      <c r="S118" s="568">
        <f>SUM(S119:S123)</f>
        <v>0</v>
      </c>
      <c r="T118" s="568">
        <f t="shared" ref="T118:Y118" si="129">SUM(T119:T123)</f>
        <v>0</v>
      </c>
      <c r="U118" s="568">
        <f t="shared" si="129"/>
        <v>0</v>
      </c>
      <c r="V118" s="568">
        <f t="shared" si="129"/>
        <v>0</v>
      </c>
      <c r="W118" s="568">
        <f t="shared" si="129"/>
        <v>0</v>
      </c>
      <c r="X118" s="568">
        <f t="shared" si="129"/>
        <v>0</v>
      </c>
      <c r="Y118" s="568">
        <f t="shared" si="129"/>
        <v>0</v>
      </c>
    </row>
    <row r="119" spans="1:25">
      <c r="A119" s="115">
        <f t="shared" si="88"/>
        <v>116</v>
      </c>
      <c r="B119" s="3"/>
      <c r="C119" s="3"/>
      <c r="D119" s="23" t="s">
        <v>20</v>
      </c>
      <c r="E119" s="19">
        <v>0</v>
      </c>
      <c r="F119" s="3"/>
      <c r="G119" s="29">
        <v>0</v>
      </c>
      <c r="H119" s="19">
        <f>+'[2]Kiad-Mód'!F127</f>
        <v>0</v>
      </c>
      <c r="I119" s="9">
        <f t="shared" si="125"/>
        <v>0</v>
      </c>
      <c r="J119" s="9">
        <v>0</v>
      </c>
      <c r="K119" s="29">
        <v>0</v>
      </c>
      <c r="L119" s="3">
        <v>0</v>
      </c>
      <c r="M119" s="26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565">
        <v>0</v>
      </c>
      <c r="T119" s="565">
        <v>0</v>
      </c>
      <c r="U119" s="565">
        <f t="shared" ref="U119:U123" si="130">SUM(S119:T119)</f>
        <v>0</v>
      </c>
      <c r="V119" s="565">
        <v>0</v>
      </c>
      <c r="W119" s="565">
        <f t="shared" ref="W119:W123" si="131">SUM(U119:V119)</f>
        <v>0</v>
      </c>
      <c r="X119" s="565">
        <v>0</v>
      </c>
      <c r="Y119" s="565">
        <f t="shared" ref="Y119:Y123" si="132">SUM(W119:X119)</f>
        <v>0</v>
      </c>
    </row>
    <row r="120" spans="1:25">
      <c r="A120" s="115">
        <f t="shared" si="88"/>
        <v>117</v>
      </c>
      <c r="B120" s="3"/>
      <c r="C120" s="3"/>
      <c r="D120" s="22" t="s">
        <v>519</v>
      </c>
      <c r="E120" s="19">
        <v>0</v>
      </c>
      <c r="F120" s="3">
        <v>1702</v>
      </c>
      <c r="G120" s="29">
        <v>0</v>
      </c>
      <c r="H120" s="19">
        <f>+'[2]Kiad-Mód'!F128</f>
        <v>0</v>
      </c>
      <c r="I120" s="9">
        <f t="shared" si="125"/>
        <v>0</v>
      </c>
      <c r="J120" s="9">
        <v>0</v>
      </c>
      <c r="K120" s="29">
        <v>0</v>
      </c>
      <c r="L120" s="3">
        <v>0</v>
      </c>
      <c r="M120" s="26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565">
        <v>0</v>
      </c>
      <c r="T120" s="565">
        <v>0</v>
      </c>
      <c r="U120" s="565">
        <f t="shared" si="130"/>
        <v>0</v>
      </c>
      <c r="V120" s="565">
        <v>0</v>
      </c>
      <c r="W120" s="565">
        <f t="shared" si="131"/>
        <v>0</v>
      </c>
      <c r="X120" s="565">
        <v>0</v>
      </c>
      <c r="Y120" s="565">
        <f t="shared" si="132"/>
        <v>0</v>
      </c>
    </row>
    <row r="121" spans="1:25">
      <c r="A121" s="115">
        <f t="shared" si="88"/>
        <v>118</v>
      </c>
      <c r="B121" s="3"/>
      <c r="C121" s="3"/>
      <c r="D121" s="22" t="s">
        <v>520</v>
      </c>
      <c r="E121" s="19">
        <v>0</v>
      </c>
      <c r="F121" s="3">
        <v>0</v>
      </c>
      <c r="G121" s="29">
        <v>0</v>
      </c>
      <c r="H121" s="19">
        <f>+'[2]Kiad-Mód'!F129</f>
        <v>0</v>
      </c>
      <c r="I121" s="9">
        <f t="shared" si="125"/>
        <v>0</v>
      </c>
      <c r="J121" s="9">
        <v>0</v>
      </c>
      <c r="K121" s="29">
        <v>0</v>
      </c>
      <c r="L121" s="3">
        <v>0</v>
      </c>
      <c r="M121" s="26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565">
        <v>0</v>
      </c>
      <c r="T121" s="565">
        <v>0</v>
      </c>
      <c r="U121" s="565">
        <f t="shared" si="130"/>
        <v>0</v>
      </c>
      <c r="V121" s="565">
        <v>0</v>
      </c>
      <c r="W121" s="565">
        <f t="shared" si="131"/>
        <v>0</v>
      </c>
      <c r="X121" s="565">
        <v>0</v>
      </c>
      <c r="Y121" s="565">
        <f t="shared" si="132"/>
        <v>0</v>
      </c>
    </row>
    <row r="122" spans="1:25">
      <c r="A122" s="115">
        <f t="shared" si="88"/>
        <v>119</v>
      </c>
      <c r="B122" s="3"/>
      <c r="C122" s="3"/>
      <c r="D122" s="22" t="s">
        <v>6</v>
      </c>
      <c r="E122" s="19">
        <v>0</v>
      </c>
      <c r="F122" s="3">
        <v>0</v>
      </c>
      <c r="G122" s="29">
        <v>0</v>
      </c>
      <c r="H122" s="19">
        <f>+'[2]Kiad-Mód'!F130</f>
        <v>0</v>
      </c>
      <c r="I122" s="9">
        <f t="shared" si="125"/>
        <v>0</v>
      </c>
      <c r="J122" s="9">
        <v>0</v>
      </c>
      <c r="K122" s="29">
        <v>0</v>
      </c>
      <c r="L122" s="3">
        <v>0</v>
      </c>
      <c r="M122" s="26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565">
        <v>0</v>
      </c>
      <c r="T122" s="565">
        <v>0</v>
      </c>
      <c r="U122" s="565">
        <f t="shared" si="130"/>
        <v>0</v>
      </c>
      <c r="V122" s="565">
        <v>0</v>
      </c>
      <c r="W122" s="565">
        <f t="shared" si="131"/>
        <v>0</v>
      </c>
      <c r="X122" s="565">
        <v>0</v>
      </c>
      <c r="Y122" s="565">
        <f t="shared" si="132"/>
        <v>0</v>
      </c>
    </row>
    <row r="123" spans="1:25">
      <c r="A123" s="115">
        <f t="shared" si="88"/>
        <v>120</v>
      </c>
      <c r="B123" s="3"/>
      <c r="C123" s="3"/>
      <c r="D123" s="22" t="s">
        <v>7</v>
      </c>
      <c r="E123" s="19">
        <v>0</v>
      </c>
      <c r="F123" s="3">
        <v>0</v>
      </c>
      <c r="G123" s="29">
        <v>0</v>
      </c>
      <c r="H123" s="19">
        <f>+'[2]Kiad-Mód'!F131</f>
        <v>0</v>
      </c>
      <c r="I123" s="9">
        <f t="shared" si="125"/>
        <v>0</v>
      </c>
      <c r="J123" s="9">
        <v>0</v>
      </c>
      <c r="K123" s="29">
        <v>0</v>
      </c>
      <c r="L123" s="3">
        <v>0</v>
      </c>
      <c r="M123" s="26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565">
        <v>0</v>
      </c>
      <c r="T123" s="565">
        <v>0</v>
      </c>
      <c r="U123" s="565">
        <f t="shared" si="130"/>
        <v>0</v>
      </c>
      <c r="V123" s="565">
        <v>0</v>
      </c>
      <c r="W123" s="565">
        <f t="shared" si="131"/>
        <v>0</v>
      </c>
      <c r="X123" s="565">
        <v>0</v>
      </c>
      <c r="Y123" s="565">
        <f t="shared" si="132"/>
        <v>0</v>
      </c>
    </row>
    <row r="124" spans="1:25">
      <c r="A124" s="115">
        <f t="shared" si="88"/>
        <v>121</v>
      </c>
      <c r="B124" s="16" t="s">
        <v>9</v>
      </c>
      <c r="C124" s="16"/>
      <c r="D124" s="16"/>
      <c r="E124" s="11">
        <f>SUM(E127,E126,E125)</f>
        <v>9253</v>
      </c>
      <c r="F124" s="11">
        <f t="shared" ref="F124:G124" si="133">SUM(F127,F126,F125)</f>
        <v>7599</v>
      </c>
      <c r="G124" s="31">
        <f t="shared" si="133"/>
        <v>4905</v>
      </c>
      <c r="H124" s="11">
        <v>5000</v>
      </c>
      <c r="I124" s="11">
        <f t="shared" si="125"/>
        <v>9905</v>
      </c>
      <c r="J124" s="11">
        <v>3360</v>
      </c>
      <c r="K124" s="31">
        <f>K125+K126</f>
        <v>13265</v>
      </c>
      <c r="L124" s="16">
        <v>0</v>
      </c>
      <c r="M124" s="31">
        <v>13265</v>
      </c>
      <c r="N124" s="11">
        <v>0</v>
      </c>
      <c r="O124" s="121">
        <f>SUM(O125:O127)</f>
        <v>2876</v>
      </c>
      <c r="P124" s="121">
        <f>SUM(P125:P127)</f>
        <v>4943</v>
      </c>
      <c r="Q124" s="121">
        <f>SUM(Q125:Q127)</f>
        <v>4528</v>
      </c>
      <c r="R124" s="121">
        <f>SUM(R125:R127)</f>
        <v>18291</v>
      </c>
      <c r="S124" s="122">
        <f>SUM(S125:S127)</f>
        <v>10542</v>
      </c>
      <c r="T124" s="122">
        <f t="shared" ref="T124:Y124" si="134">SUM(T125:T127)</f>
        <v>0</v>
      </c>
      <c r="U124" s="122">
        <f t="shared" si="134"/>
        <v>10542</v>
      </c>
      <c r="V124" s="122">
        <f t="shared" si="134"/>
        <v>300</v>
      </c>
      <c r="W124" s="122">
        <f t="shared" si="134"/>
        <v>10842</v>
      </c>
      <c r="X124" s="122">
        <f t="shared" si="134"/>
        <v>0</v>
      </c>
      <c r="Y124" s="122">
        <f t="shared" si="134"/>
        <v>10842</v>
      </c>
    </row>
    <row r="125" spans="1:25">
      <c r="A125" s="115">
        <f t="shared" si="88"/>
        <v>122</v>
      </c>
      <c r="B125" s="3"/>
      <c r="C125" s="3" t="s">
        <v>10</v>
      </c>
      <c r="D125" s="3"/>
      <c r="E125" s="9">
        <v>5253</v>
      </c>
      <c r="F125" s="9">
        <v>7599</v>
      </c>
      <c r="G125" s="29">
        <v>4505</v>
      </c>
      <c r="H125" s="9">
        <v>5000</v>
      </c>
      <c r="I125" s="9">
        <f t="shared" si="125"/>
        <v>9505</v>
      </c>
      <c r="J125" s="9">
        <f>360+3000</f>
        <v>3360</v>
      </c>
      <c r="K125" s="29">
        <f>J125+I125</f>
        <v>12865</v>
      </c>
      <c r="L125" s="3">
        <v>0</v>
      </c>
      <c r="M125" s="29">
        <v>12865</v>
      </c>
      <c r="N125" s="9">
        <v>0</v>
      </c>
      <c r="O125" s="9">
        <v>2285</v>
      </c>
      <c r="P125" s="9">
        <v>4943</v>
      </c>
      <c r="Q125" s="9">
        <v>1528</v>
      </c>
      <c r="R125" s="9">
        <v>8541</v>
      </c>
      <c r="S125" s="565">
        <v>10022</v>
      </c>
      <c r="T125" s="565">
        <v>0</v>
      </c>
      <c r="U125" s="565">
        <f t="shared" ref="U125:U126" si="135">SUM(S125:T125)</f>
        <v>10022</v>
      </c>
      <c r="V125" s="565">
        <v>300</v>
      </c>
      <c r="W125" s="565">
        <f t="shared" ref="W125:W126" si="136">SUM(U125:V125)</f>
        <v>10322</v>
      </c>
      <c r="X125" s="565">
        <v>0</v>
      </c>
      <c r="Y125" s="565">
        <f t="shared" ref="Y125:Y126" si="137">SUM(W125:X125)</f>
        <v>10322</v>
      </c>
    </row>
    <row r="126" spans="1:25">
      <c r="A126" s="115">
        <f t="shared" si="88"/>
        <v>123</v>
      </c>
      <c r="B126" s="3"/>
      <c r="C126" s="3" t="s">
        <v>11</v>
      </c>
      <c r="D126" s="3"/>
      <c r="E126" s="9">
        <v>4000</v>
      </c>
      <c r="F126" s="9">
        <v>0</v>
      </c>
      <c r="G126" s="29">
        <v>400</v>
      </c>
      <c r="H126" s="9">
        <f>+'[2]Kiad-Mód'!F134</f>
        <v>0</v>
      </c>
      <c r="I126" s="9">
        <f t="shared" si="125"/>
        <v>400</v>
      </c>
      <c r="J126" s="9">
        <v>0</v>
      </c>
      <c r="K126" s="29">
        <v>400</v>
      </c>
      <c r="L126" s="3">
        <v>0</v>
      </c>
      <c r="M126" s="26">
        <v>400</v>
      </c>
      <c r="N126" s="9">
        <v>0</v>
      </c>
      <c r="O126" s="9">
        <v>591</v>
      </c>
      <c r="P126" s="9">
        <v>0</v>
      </c>
      <c r="Q126" s="9">
        <v>3000</v>
      </c>
      <c r="R126" s="9">
        <v>9750</v>
      </c>
      <c r="S126" s="565">
        <v>520</v>
      </c>
      <c r="T126" s="565">
        <v>0</v>
      </c>
      <c r="U126" s="565">
        <f t="shared" si="135"/>
        <v>520</v>
      </c>
      <c r="V126" s="565">
        <v>0</v>
      </c>
      <c r="W126" s="565">
        <f t="shared" si="136"/>
        <v>520</v>
      </c>
      <c r="X126" s="565">
        <v>0</v>
      </c>
      <c r="Y126" s="565">
        <f t="shared" si="137"/>
        <v>520</v>
      </c>
    </row>
    <row r="127" spans="1:25">
      <c r="A127" s="115">
        <f t="shared" si="88"/>
        <v>124</v>
      </c>
      <c r="B127" s="3"/>
      <c r="C127" s="3" t="s">
        <v>12</v>
      </c>
      <c r="D127" s="3"/>
      <c r="E127" s="9">
        <f>SUM(E128:E130)</f>
        <v>0</v>
      </c>
      <c r="F127" s="3">
        <v>0</v>
      </c>
      <c r="G127" s="29">
        <v>0</v>
      </c>
      <c r="H127" s="9">
        <f>SUM(H128:H130)</f>
        <v>0</v>
      </c>
      <c r="I127" s="9">
        <f t="shared" si="125"/>
        <v>0</v>
      </c>
      <c r="J127" s="9">
        <v>0</v>
      </c>
      <c r="K127" s="29">
        <v>0</v>
      </c>
      <c r="L127" s="3">
        <v>0</v>
      </c>
      <c r="M127" s="26">
        <v>0</v>
      </c>
      <c r="N127" s="9">
        <v>0</v>
      </c>
      <c r="O127" s="120">
        <f>SUM(O128:O130)</f>
        <v>0</v>
      </c>
      <c r="P127" s="120">
        <f>SUM(P128:P130)</f>
        <v>0</v>
      </c>
      <c r="Q127" s="120">
        <f>SUM(Q128:Q130)</f>
        <v>0</v>
      </c>
      <c r="R127" s="120">
        <f>SUM(R128:R130)</f>
        <v>0</v>
      </c>
      <c r="S127" s="568">
        <f>SUM(S128:S130)</f>
        <v>0</v>
      </c>
      <c r="T127" s="568">
        <f t="shared" ref="T127:Y127" si="138">SUM(T128:T130)</f>
        <v>0</v>
      </c>
      <c r="U127" s="568">
        <f t="shared" si="138"/>
        <v>0</v>
      </c>
      <c r="V127" s="568">
        <f t="shared" si="138"/>
        <v>0</v>
      </c>
      <c r="W127" s="568">
        <f t="shared" si="138"/>
        <v>0</v>
      </c>
      <c r="X127" s="568">
        <f t="shared" si="138"/>
        <v>0</v>
      </c>
      <c r="Y127" s="568">
        <f t="shared" si="138"/>
        <v>0</v>
      </c>
    </row>
    <row r="128" spans="1:25">
      <c r="A128" s="115">
        <f t="shared" si="88"/>
        <v>125</v>
      </c>
      <c r="B128" s="3"/>
      <c r="C128" s="3"/>
      <c r="D128" s="22" t="s">
        <v>13</v>
      </c>
      <c r="E128" s="19">
        <v>0</v>
      </c>
      <c r="F128" s="3">
        <v>0</v>
      </c>
      <c r="G128" s="29">
        <v>0</v>
      </c>
      <c r="H128" s="19">
        <f>+'[2]Kiad-Mód'!F136</f>
        <v>0</v>
      </c>
      <c r="I128" s="9">
        <f t="shared" si="125"/>
        <v>0</v>
      </c>
      <c r="J128" s="9">
        <v>0</v>
      </c>
      <c r="K128" s="29">
        <v>0</v>
      </c>
      <c r="L128" s="3">
        <v>0</v>
      </c>
      <c r="M128" s="26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565">
        <v>0</v>
      </c>
      <c r="T128" s="565">
        <v>0</v>
      </c>
      <c r="U128" s="565">
        <f t="shared" ref="U128:U130" si="139">SUM(S128:T128)</f>
        <v>0</v>
      </c>
      <c r="V128" s="565">
        <v>0</v>
      </c>
      <c r="W128" s="565">
        <f t="shared" ref="W128:W130" si="140">SUM(U128:V128)</f>
        <v>0</v>
      </c>
      <c r="X128" s="565">
        <v>0</v>
      </c>
      <c r="Y128" s="565">
        <f t="shared" ref="Y128:Y130" si="141">SUM(W128:X128)</f>
        <v>0</v>
      </c>
    </row>
    <row r="129" spans="1:25" ht="30">
      <c r="A129" s="115">
        <f t="shared" si="88"/>
        <v>126</v>
      </c>
      <c r="B129" s="3"/>
      <c r="C129" s="3"/>
      <c r="D129" s="18" t="s">
        <v>503</v>
      </c>
      <c r="E129" s="19">
        <v>0</v>
      </c>
      <c r="F129" s="3">
        <v>0</v>
      </c>
      <c r="G129" s="29">
        <v>0</v>
      </c>
      <c r="H129" s="19">
        <f>+'[2]Kiad-Mód'!F137</f>
        <v>0</v>
      </c>
      <c r="I129" s="9">
        <f t="shared" si="125"/>
        <v>0</v>
      </c>
      <c r="J129" s="9">
        <v>0</v>
      </c>
      <c r="K129" s="29">
        <v>0</v>
      </c>
      <c r="L129" s="3">
        <v>0</v>
      </c>
      <c r="M129" s="26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565">
        <v>0</v>
      </c>
      <c r="T129" s="565">
        <v>0</v>
      </c>
      <c r="U129" s="565">
        <f t="shared" si="139"/>
        <v>0</v>
      </c>
      <c r="V129" s="565">
        <v>0</v>
      </c>
      <c r="W129" s="565">
        <f t="shared" si="140"/>
        <v>0</v>
      </c>
      <c r="X129" s="565">
        <v>0</v>
      </c>
      <c r="Y129" s="565">
        <f t="shared" si="141"/>
        <v>0</v>
      </c>
    </row>
    <row r="130" spans="1:25">
      <c r="A130" s="115">
        <f t="shared" si="88"/>
        <v>127</v>
      </c>
      <c r="B130" s="3"/>
      <c r="C130" s="3"/>
      <c r="D130" s="22" t="s">
        <v>14</v>
      </c>
      <c r="E130" s="19">
        <v>0</v>
      </c>
      <c r="F130" s="3">
        <v>0</v>
      </c>
      <c r="G130" s="29">
        <v>0</v>
      </c>
      <c r="H130" s="19">
        <f>+'[2]Kiad-Mód'!F138</f>
        <v>0</v>
      </c>
      <c r="I130" s="9">
        <f t="shared" si="125"/>
        <v>0</v>
      </c>
      <c r="J130" s="9">
        <v>0</v>
      </c>
      <c r="K130" s="29">
        <v>0</v>
      </c>
      <c r="L130" s="3">
        <v>0</v>
      </c>
      <c r="M130" s="26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565">
        <v>0</v>
      </c>
      <c r="T130" s="565">
        <v>0</v>
      </c>
      <c r="U130" s="565">
        <f t="shared" si="139"/>
        <v>0</v>
      </c>
      <c r="V130" s="565">
        <v>0</v>
      </c>
      <c r="W130" s="565">
        <f t="shared" si="140"/>
        <v>0</v>
      </c>
      <c r="X130" s="565">
        <v>0</v>
      </c>
      <c r="Y130" s="565">
        <f t="shared" si="141"/>
        <v>0</v>
      </c>
    </row>
    <row r="131" spans="1:25">
      <c r="A131" s="115">
        <f t="shared" si="88"/>
        <v>128</v>
      </c>
      <c r="B131" s="16" t="s">
        <v>15</v>
      </c>
      <c r="C131" s="16"/>
      <c r="D131" s="16"/>
      <c r="E131" s="11">
        <f>SUM(E132:E134)</f>
        <v>0</v>
      </c>
      <c r="F131" s="3">
        <v>0</v>
      </c>
      <c r="G131" s="31">
        <f>G132+G133+G134</f>
        <v>0</v>
      </c>
      <c r="H131" s="11">
        <f>SUM(H132:H134)</f>
        <v>0</v>
      </c>
      <c r="I131" s="9">
        <f t="shared" si="125"/>
        <v>0</v>
      </c>
      <c r="J131" s="9">
        <v>0</v>
      </c>
      <c r="K131" s="29">
        <v>0</v>
      </c>
      <c r="L131" s="3">
        <v>0</v>
      </c>
      <c r="M131" s="26">
        <v>0</v>
      </c>
      <c r="N131" s="9">
        <v>0</v>
      </c>
      <c r="O131" s="121">
        <f>SUM(O132:O134)</f>
        <v>0</v>
      </c>
      <c r="P131" s="121">
        <f>SUM(P132:P134)</f>
        <v>0</v>
      </c>
      <c r="Q131" s="121">
        <f>SUM(Q132:Q134)</f>
        <v>0</v>
      </c>
      <c r="R131" s="121">
        <f>SUM(R132:R134)</f>
        <v>0</v>
      </c>
      <c r="S131" s="122">
        <f>SUM(S132:S134)</f>
        <v>0</v>
      </c>
      <c r="T131" s="122">
        <f t="shared" ref="T131:Y131" si="142">SUM(T132:T134)</f>
        <v>0</v>
      </c>
      <c r="U131" s="122">
        <f t="shared" si="142"/>
        <v>0</v>
      </c>
      <c r="V131" s="122">
        <f t="shared" si="142"/>
        <v>0</v>
      </c>
      <c r="W131" s="122">
        <f t="shared" si="142"/>
        <v>0</v>
      </c>
      <c r="X131" s="122">
        <f t="shared" si="142"/>
        <v>0</v>
      </c>
      <c r="Y131" s="122">
        <f t="shared" si="142"/>
        <v>0</v>
      </c>
    </row>
    <row r="132" spans="1:25">
      <c r="A132" s="115">
        <f t="shared" si="88"/>
        <v>129</v>
      </c>
      <c r="B132" s="3"/>
      <c r="C132" s="3" t="s">
        <v>16</v>
      </c>
      <c r="D132" s="3"/>
      <c r="E132" s="9">
        <v>0</v>
      </c>
      <c r="F132" s="3">
        <v>0</v>
      </c>
      <c r="G132" s="29">
        <v>0</v>
      </c>
      <c r="H132" s="9">
        <f>+'[2]Kiad-Mód'!F140</f>
        <v>0</v>
      </c>
      <c r="I132" s="9">
        <f t="shared" si="125"/>
        <v>0</v>
      </c>
      <c r="J132" s="9">
        <v>0</v>
      </c>
      <c r="K132" s="29">
        <v>0</v>
      </c>
      <c r="L132" s="3">
        <v>0</v>
      </c>
      <c r="M132" s="26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565">
        <v>0</v>
      </c>
      <c r="T132" s="565">
        <v>0</v>
      </c>
      <c r="U132" s="565">
        <f t="shared" ref="U132:U134" si="143">SUM(S132:T132)</f>
        <v>0</v>
      </c>
      <c r="V132" s="565">
        <v>0</v>
      </c>
      <c r="W132" s="565">
        <f t="shared" ref="W132:W134" si="144">SUM(U132:V132)</f>
        <v>0</v>
      </c>
      <c r="X132" s="565">
        <v>0</v>
      </c>
      <c r="Y132" s="565">
        <f t="shared" ref="Y132:Y134" si="145">SUM(W132:X132)</f>
        <v>0</v>
      </c>
    </row>
    <row r="133" spans="1:25">
      <c r="A133" s="115">
        <f t="shared" si="88"/>
        <v>130</v>
      </c>
      <c r="B133" s="3"/>
      <c r="C133" s="3" t="s">
        <v>17</v>
      </c>
      <c r="D133" s="3"/>
      <c r="E133" s="9">
        <v>0</v>
      </c>
      <c r="F133" s="3">
        <v>0</v>
      </c>
      <c r="G133" s="29">
        <v>0</v>
      </c>
      <c r="H133" s="9">
        <f>+'[2]Kiad-Mód'!F141</f>
        <v>0</v>
      </c>
      <c r="I133" s="9">
        <f t="shared" si="125"/>
        <v>0</v>
      </c>
      <c r="J133" s="9">
        <v>0</v>
      </c>
      <c r="K133" s="29">
        <v>0</v>
      </c>
      <c r="L133" s="3">
        <v>0</v>
      </c>
      <c r="M133" s="26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565">
        <v>0</v>
      </c>
      <c r="T133" s="565">
        <v>0</v>
      </c>
      <c r="U133" s="565">
        <f t="shared" si="143"/>
        <v>0</v>
      </c>
      <c r="V133" s="565">
        <v>0</v>
      </c>
      <c r="W133" s="565">
        <f t="shared" si="144"/>
        <v>0</v>
      </c>
      <c r="X133" s="565">
        <v>0</v>
      </c>
      <c r="Y133" s="565">
        <f t="shared" si="145"/>
        <v>0</v>
      </c>
    </row>
    <row r="134" spans="1:25">
      <c r="A134" s="115">
        <f t="shared" si="88"/>
        <v>131</v>
      </c>
      <c r="B134" s="3"/>
      <c r="C134" s="3" t="s">
        <v>18</v>
      </c>
      <c r="D134" s="3"/>
      <c r="E134" s="9">
        <v>0</v>
      </c>
      <c r="F134" s="3">
        <v>0</v>
      </c>
      <c r="G134" s="29">
        <v>0</v>
      </c>
      <c r="H134" s="9">
        <f>+'[2]Kiad-Mód'!F142</f>
        <v>0</v>
      </c>
      <c r="I134" s="9">
        <f t="shared" si="125"/>
        <v>0</v>
      </c>
      <c r="J134" s="9">
        <v>0</v>
      </c>
      <c r="K134" s="29">
        <v>0</v>
      </c>
      <c r="L134" s="3">
        <v>0</v>
      </c>
      <c r="M134" s="26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565">
        <v>0</v>
      </c>
      <c r="T134" s="565">
        <v>0</v>
      </c>
      <c r="U134" s="565">
        <f t="shared" si="143"/>
        <v>0</v>
      </c>
      <c r="V134" s="565">
        <v>0</v>
      </c>
      <c r="W134" s="565">
        <f t="shared" si="144"/>
        <v>0</v>
      </c>
      <c r="X134" s="565">
        <v>0</v>
      </c>
      <c r="Y134" s="565">
        <f t="shared" si="145"/>
        <v>0</v>
      </c>
    </row>
    <row r="135" spans="1:25">
      <c r="A135" s="115">
        <f t="shared" si="88"/>
        <v>132</v>
      </c>
      <c r="B135" s="16" t="s">
        <v>19</v>
      </c>
      <c r="C135" s="16"/>
      <c r="D135" s="16"/>
      <c r="E135" s="11">
        <f>SUM(E113,E124,E131)</f>
        <v>420000</v>
      </c>
      <c r="F135" s="11">
        <f t="shared" ref="F135:G135" si="146">SUM(F113,F124,F131)</f>
        <v>533547</v>
      </c>
      <c r="G135" s="31">
        <f t="shared" si="146"/>
        <v>490951</v>
      </c>
      <c r="H135" s="11">
        <f>SUM(H113,H124,H131)</f>
        <v>45521</v>
      </c>
      <c r="I135" s="11">
        <f t="shared" si="125"/>
        <v>536472</v>
      </c>
      <c r="J135" s="11">
        <f>J124+J113</f>
        <v>19587</v>
      </c>
      <c r="K135" s="31">
        <f>K124+K113</f>
        <v>556059</v>
      </c>
      <c r="L135" s="11">
        <v>5763</v>
      </c>
      <c r="M135" s="31">
        <f>M124+M113</f>
        <v>561822</v>
      </c>
      <c r="N135" s="11">
        <f>N113+N124+N131</f>
        <v>553813</v>
      </c>
      <c r="O135" s="122">
        <f>SUM(O131,O124,O113)</f>
        <v>572041</v>
      </c>
      <c r="P135" s="122">
        <f>SUM(P131,P124,P113)</f>
        <v>729031</v>
      </c>
      <c r="Q135" s="122">
        <f>SUM(Q131,Q124,Q113)</f>
        <v>794631</v>
      </c>
      <c r="R135" s="122">
        <f>SUM(R131,R124,R113)</f>
        <v>890988</v>
      </c>
      <c r="S135" s="122">
        <f>SUM(S131,S124,S113)</f>
        <v>926306</v>
      </c>
      <c r="T135" s="122">
        <f t="shared" ref="T135:Y135" si="147">SUM(T131,T124,T113)</f>
        <v>33531</v>
      </c>
      <c r="U135" s="122">
        <f t="shared" si="147"/>
        <v>959837</v>
      </c>
      <c r="V135" s="122">
        <f t="shared" si="147"/>
        <v>27430</v>
      </c>
      <c r="W135" s="122">
        <f t="shared" si="147"/>
        <v>987267</v>
      </c>
      <c r="X135" s="122">
        <f t="shared" si="147"/>
        <v>14092</v>
      </c>
      <c r="Y135" s="122">
        <f t="shared" si="147"/>
        <v>1001359</v>
      </c>
    </row>
    <row r="136" spans="1:25" ht="81.599999999999994" customHeight="1">
      <c r="A136" s="115">
        <f t="shared" si="88"/>
        <v>133</v>
      </c>
      <c r="B136" s="16" t="s">
        <v>48</v>
      </c>
      <c r="C136" s="3"/>
      <c r="D136" s="3"/>
      <c r="E136" s="15" t="s">
        <v>107</v>
      </c>
      <c r="F136" s="6" t="s">
        <v>113</v>
      </c>
      <c r="G136" s="25" t="s">
        <v>114</v>
      </c>
      <c r="H136" s="24" t="s">
        <v>111</v>
      </c>
      <c r="I136" s="6" t="s">
        <v>116</v>
      </c>
      <c r="J136" s="6" t="s">
        <v>111</v>
      </c>
      <c r="K136" s="76" t="s">
        <v>256</v>
      </c>
      <c r="L136" s="6" t="s">
        <v>111</v>
      </c>
      <c r="M136" s="76" t="s">
        <v>260</v>
      </c>
      <c r="N136" s="6" t="str">
        <f t="shared" ref="N136:R136" si="148">N$4</f>
        <v>Előirányzat
4/2020. (III.05.) önkormányzati rendelet</v>
      </c>
      <c r="O136" s="6" t="str">
        <f t="shared" si="148"/>
        <v>Előirányzat
 5./2021. (II.25.) polgármesteri rendelet</v>
      </c>
      <c r="P136" s="6" t="str">
        <f t="shared" si="148"/>
        <v>Előirányzat
3/2022. (II.10.) önkormányzati rendelet</v>
      </c>
      <c r="Q136" s="6" t="str">
        <f t="shared" si="148"/>
        <v>Előirányzat
1./2023. (II.23.) önkormányzati rendelet</v>
      </c>
      <c r="R136" s="6" t="str">
        <f t="shared" si="148"/>
        <v>Előirányzat
1./2024. (II)22. önkormányzati rendelet</v>
      </c>
      <c r="S136" s="562" t="str">
        <f ca="1">S$4</f>
        <v>Előirányzat
2/2025. (II.20.) önkormányzati rendelet</v>
      </c>
      <c r="T136" s="562" t="s">
        <v>111</v>
      </c>
      <c r="U136" s="562" t="str">
        <f>U110</f>
        <v>Előirányzat 13/2025. (VI.26.) önkormányzati rendelet</v>
      </c>
      <c r="V136" s="562" t="s">
        <v>111</v>
      </c>
      <c r="W136" s="562" t="str">
        <f>W4</f>
        <v>Előirányzat 16/2025. (IX.25.) önkormányzati rendelet</v>
      </c>
      <c r="X136" s="562" t="s">
        <v>111</v>
      </c>
      <c r="Y136" s="562" t="s">
        <v>582</v>
      </c>
    </row>
    <row r="137" spans="1:25">
      <c r="A137" s="115">
        <f t="shared" si="88"/>
        <v>134</v>
      </c>
      <c r="B137" s="16" t="s">
        <v>25</v>
      </c>
      <c r="C137" s="3"/>
      <c r="D137" s="3"/>
      <c r="E137" s="9"/>
      <c r="F137" s="3"/>
      <c r="G137" s="29"/>
      <c r="H137" s="3"/>
      <c r="I137" s="3"/>
      <c r="J137" s="9"/>
      <c r="K137" s="29"/>
      <c r="L137" s="3"/>
      <c r="M137" s="26"/>
      <c r="N137" s="3"/>
      <c r="O137" s="9"/>
      <c r="P137" s="9"/>
      <c r="Q137" s="9"/>
      <c r="R137" s="9"/>
      <c r="S137" s="565"/>
      <c r="T137" s="565"/>
      <c r="U137" s="565"/>
      <c r="V137" s="565"/>
      <c r="W137" s="565"/>
      <c r="X137" s="565"/>
      <c r="Y137" s="565"/>
    </row>
    <row r="138" spans="1:25">
      <c r="A138" s="115">
        <f t="shared" si="88"/>
        <v>135</v>
      </c>
      <c r="B138" s="16"/>
      <c r="C138" s="3" t="s">
        <v>26</v>
      </c>
      <c r="D138" s="3"/>
      <c r="E138" s="9"/>
      <c r="F138" s="3"/>
      <c r="G138" s="29"/>
      <c r="H138" s="3"/>
      <c r="I138" s="3"/>
      <c r="J138" s="9"/>
      <c r="K138" s="29"/>
      <c r="L138" s="3"/>
      <c r="M138" s="26"/>
      <c r="N138" s="3"/>
      <c r="O138" s="9"/>
      <c r="P138" s="9"/>
      <c r="Q138" s="9"/>
      <c r="R138" s="9"/>
      <c r="S138" s="565"/>
      <c r="T138" s="565"/>
      <c r="U138" s="565"/>
      <c r="V138" s="565"/>
      <c r="W138" s="565"/>
      <c r="X138" s="565"/>
      <c r="Y138" s="565"/>
    </row>
    <row r="139" spans="1:25">
      <c r="A139" s="115">
        <f t="shared" si="88"/>
        <v>136</v>
      </c>
      <c r="B139" s="16" t="s">
        <v>8</v>
      </c>
      <c r="C139" s="16"/>
      <c r="D139" s="16"/>
      <c r="E139" s="11">
        <f>SUM(E144,E143,E142,E141,E140)</f>
        <v>3304537</v>
      </c>
      <c r="F139" s="11" t="e">
        <f>SUM(F144,F143,F142,F141,F140)</f>
        <v>#REF!</v>
      </c>
      <c r="G139" s="31">
        <f>SUM(G144,G143,G142,G141,G140)</f>
        <v>3269452</v>
      </c>
      <c r="H139" s="36">
        <f>SUM(H144,H143,H142,H141,H140)</f>
        <v>1224924</v>
      </c>
      <c r="I139" s="11">
        <f>H139+G139</f>
        <v>4494376</v>
      </c>
      <c r="J139" s="11">
        <f>J140+J141+J142+J143+J144</f>
        <v>245974</v>
      </c>
      <c r="K139" s="31">
        <f>SUM(K140:K144)</f>
        <v>4740350</v>
      </c>
      <c r="L139" s="31">
        <f>SUM(L140:L144)</f>
        <v>18451</v>
      </c>
      <c r="M139" s="31">
        <f t="shared" ref="M139" si="149">SUM(M140:M144)</f>
        <v>4758801</v>
      </c>
      <c r="N139" s="11">
        <f>N140+N141+N142+N143+N144</f>
        <v>3885185</v>
      </c>
      <c r="O139" s="121">
        <f>SUM(O140:O144)</f>
        <v>4367476</v>
      </c>
      <c r="P139" s="121">
        <f>SUM(P140:P144)</f>
        <v>7054523</v>
      </c>
      <c r="Q139" s="121">
        <f>SUM(Q140:Q144)</f>
        <v>6906657</v>
      </c>
      <c r="R139" s="121">
        <f>SUM(R140:R144)</f>
        <v>6177707</v>
      </c>
      <c r="S139" s="122">
        <f>SUM(S140:S144)</f>
        <v>6482469</v>
      </c>
      <c r="T139" s="122">
        <f t="shared" ref="T139:Y139" si="150">SUM(T140:T144)</f>
        <v>279243</v>
      </c>
      <c r="U139" s="122">
        <f t="shared" si="150"/>
        <v>6761712</v>
      </c>
      <c r="V139" s="122">
        <f t="shared" si="150"/>
        <v>58786</v>
      </c>
      <c r="W139" s="122">
        <f t="shared" si="150"/>
        <v>6820498</v>
      </c>
      <c r="X139" s="122">
        <f t="shared" si="150"/>
        <v>240075</v>
      </c>
      <c r="Y139" s="122">
        <f t="shared" si="150"/>
        <v>7060573</v>
      </c>
    </row>
    <row r="140" spans="1:25">
      <c r="A140" s="115">
        <f t="shared" si="88"/>
        <v>137</v>
      </c>
      <c r="B140" s="3"/>
      <c r="C140" s="3" t="s">
        <v>2</v>
      </c>
      <c r="D140" s="3"/>
      <c r="E140" s="9">
        <f>SUM(E114,E88,E62,E36,E9)</f>
        <v>1089794</v>
      </c>
      <c r="F140" s="9">
        <v>1650257</v>
      </c>
      <c r="G140" s="29">
        <f>SUM(G114,G88,G62,G36,G9)</f>
        <v>1098520</v>
      </c>
      <c r="H140" s="29">
        <f>SUM(H114,H88,H62,H36,H9)</f>
        <v>277628</v>
      </c>
      <c r="I140" s="29">
        <f>SUM(I114,I88,I62,I36,I9)</f>
        <v>1376148</v>
      </c>
      <c r="J140" s="29">
        <f>SUM(J114,J88,J62,J36,J9)</f>
        <v>53537</v>
      </c>
      <c r="K140" s="29">
        <f>J140+I140</f>
        <v>1429685</v>
      </c>
      <c r="L140" s="29">
        <f>L9+L36+L62+L88+L114</f>
        <v>41734</v>
      </c>
      <c r="M140" s="29">
        <f>K140+L140</f>
        <v>1471419</v>
      </c>
      <c r="N140" s="9">
        <f>N114+N88+N62+N36+N9</f>
        <v>1256567</v>
      </c>
      <c r="O140" s="124">
        <f t="shared" ref="O140:T143" si="151">SUM(O9,O36,O62,O88,O114)</f>
        <v>1319632</v>
      </c>
      <c r="P140" s="124">
        <f t="shared" si="151"/>
        <v>1357922</v>
      </c>
      <c r="Q140" s="124">
        <f t="shared" si="151"/>
        <v>1412680</v>
      </c>
      <c r="R140" s="124">
        <f t="shared" si="151"/>
        <v>1662466</v>
      </c>
      <c r="S140" s="572">
        <f t="shared" si="151"/>
        <v>2007345</v>
      </c>
      <c r="T140" s="572">
        <f t="shared" si="151"/>
        <v>172194</v>
      </c>
      <c r="U140" s="572">
        <f t="shared" ref="U140:U143" si="152">SUM(S140:T140)</f>
        <v>2179539</v>
      </c>
      <c r="V140" s="572">
        <f t="shared" ref="V140:X143" si="153">SUM(V9,V36,V62,V88,V114)</f>
        <v>56922</v>
      </c>
      <c r="W140" s="572">
        <f t="shared" ref="W140:W143" si="154">SUM(U140:V140)</f>
        <v>2236461</v>
      </c>
      <c r="X140" s="572">
        <f t="shared" si="153"/>
        <v>22010</v>
      </c>
      <c r="Y140" s="572">
        <f t="shared" ref="Y140:Y143" si="155">SUM(W140:X140)</f>
        <v>2258471</v>
      </c>
    </row>
    <row r="141" spans="1:25">
      <c r="A141" s="115">
        <f t="shared" si="88"/>
        <v>138</v>
      </c>
      <c r="B141" s="3"/>
      <c r="C141" s="3" t="s">
        <v>1</v>
      </c>
      <c r="D141" s="3"/>
      <c r="E141" s="9">
        <f>SUM(E115,E89,E63,E37,E10)</f>
        <v>187274</v>
      </c>
      <c r="F141" s="9">
        <v>267738</v>
      </c>
      <c r="G141" s="29">
        <v>212275</v>
      </c>
      <c r="H141" s="37">
        <f>SUM(H115,H89,H63,H37,H10)</f>
        <v>34754</v>
      </c>
      <c r="I141" s="9">
        <f t="shared" ref="I141:I161" si="156">H141+G141</f>
        <v>247029</v>
      </c>
      <c r="J141" s="9">
        <f>J115+J89+J63+J37+J10</f>
        <v>15126</v>
      </c>
      <c r="K141" s="29">
        <f>J141+I141</f>
        <v>262155</v>
      </c>
      <c r="L141" s="9">
        <f>L115+L89+L63+L37+L10</f>
        <v>10974</v>
      </c>
      <c r="M141" s="29">
        <f t="shared" ref="M141:M143" si="157">K141+L141</f>
        <v>273129</v>
      </c>
      <c r="N141" s="9">
        <f>N115+N89+N63+N37+N10</f>
        <v>225299</v>
      </c>
      <c r="O141" s="124">
        <f t="shared" si="151"/>
        <v>216560</v>
      </c>
      <c r="P141" s="124">
        <f t="shared" si="151"/>
        <v>198139</v>
      </c>
      <c r="Q141" s="124">
        <f t="shared" si="151"/>
        <v>211865</v>
      </c>
      <c r="R141" s="124">
        <f t="shared" si="151"/>
        <v>242869</v>
      </c>
      <c r="S141" s="572">
        <f t="shared" si="151"/>
        <v>295559</v>
      </c>
      <c r="T141" s="572">
        <f t="shared" si="151"/>
        <v>11763</v>
      </c>
      <c r="U141" s="572">
        <f t="shared" si="152"/>
        <v>307322</v>
      </c>
      <c r="V141" s="572">
        <f t="shared" si="153"/>
        <v>9405</v>
      </c>
      <c r="W141" s="572">
        <f t="shared" si="154"/>
        <v>316727</v>
      </c>
      <c r="X141" s="572">
        <f t="shared" si="153"/>
        <v>2595</v>
      </c>
      <c r="Y141" s="572">
        <f t="shared" si="155"/>
        <v>319322</v>
      </c>
    </row>
    <row r="142" spans="1:25">
      <c r="A142" s="115">
        <f t="shared" si="88"/>
        <v>139</v>
      </c>
      <c r="B142" s="3"/>
      <c r="C142" s="3" t="s">
        <v>4</v>
      </c>
      <c r="D142" s="3"/>
      <c r="E142" s="9">
        <f>SUM(E116,E90,E64,E38,E11)</f>
        <v>981343</v>
      </c>
      <c r="F142" s="9">
        <f>SUM(F116,F90,F64,F38,F11)</f>
        <v>2220366</v>
      </c>
      <c r="G142" s="29">
        <v>1029983</v>
      </c>
      <c r="H142" s="37">
        <f>SUM(H116,H90,H64,H38,H11)</f>
        <v>400538</v>
      </c>
      <c r="I142" s="9">
        <f t="shared" si="156"/>
        <v>1430521</v>
      </c>
      <c r="J142" s="9">
        <f>J116+J90+J64+J38+J11-3086</f>
        <v>379651</v>
      </c>
      <c r="K142" s="29">
        <f>J142+I142</f>
        <v>1810172</v>
      </c>
      <c r="L142" s="9">
        <f>L116+L90+L64+L38+L11</f>
        <v>148793</v>
      </c>
      <c r="M142" s="29">
        <f t="shared" si="157"/>
        <v>1958965</v>
      </c>
      <c r="N142" s="9">
        <f>N116+N90+N64+N38+N11</f>
        <v>1351839</v>
      </c>
      <c r="O142" s="124">
        <f t="shared" si="151"/>
        <v>1309640</v>
      </c>
      <c r="P142" s="124">
        <f t="shared" si="151"/>
        <v>3830169</v>
      </c>
      <c r="Q142" s="124">
        <f t="shared" si="151"/>
        <v>3585852</v>
      </c>
      <c r="R142" s="124">
        <f t="shared" si="151"/>
        <v>2751335</v>
      </c>
      <c r="S142" s="572">
        <f t="shared" si="151"/>
        <v>2286860</v>
      </c>
      <c r="T142" s="572">
        <f t="shared" si="151"/>
        <v>66710</v>
      </c>
      <c r="U142" s="572">
        <f t="shared" si="152"/>
        <v>2353570</v>
      </c>
      <c r="V142" s="572">
        <f t="shared" si="153"/>
        <v>7430</v>
      </c>
      <c r="W142" s="572">
        <f t="shared" si="154"/>
        <v>2361000</v>
      </c>
      <c r="X142" s="572">
        <f t="shared" si="153"/>
        <v>13430</v>
      </c>
      <c r="Y142" s="572">
        <f t="shared" si="155"/>
        <v>2374430</v>
      </c>
    </row>
    <row r="143" spans="1:25">
      <c r="A143" s="115">
        <f t="shared" ref="A143:A163" si="158">A142+1</f>
        <v>140</v>
      </c>
      <c r="B143" s="3"/>
      <c r="C143" s="3" t="s">
        <v>3</v>
      </c>
      <c r="D143" s="3"/>
      <c r="E143" s="9">
        <f>SUM(E117,E91,E65,E39,E12)</f>
        <v>129000</v>
      </c>
      <c r="F143" s="9">
        <f>SUM(F117,F91,F65,F39,F12)</f>
        <v>125043</v>
      </c>
      <c r="G143" s="29">
        <f>SUM(G117,G91,G65,G39,G12)</f>
        <v>108500</v>
      </c>
      <c r="H143" s="37">
        <f>SUM(H117,H91,H65,H39,H12)</f>
        <v>24000</v>
      </c>
      <c r="I143" s="9">
        <f t="shared" si="156"/>
        <v>132500</v>
      </c>
      <c r="J143" s="9">
        <f>J12</f>
        <v>2724</v>
      </c>
      <c r="K143" s="29">
        <f>J143+I143</f>
        <v>135224</v>
      </c>
      <c r="L143" s="3">
        <v>0</v>
      </c>
      <c r="M143" s="29">
        <f t="shared" si="157"/>
        <v>135224</v>
      </c>
      <c r="N143" s="9">
        <f>N12</f>
        <v>149500</v>
      </c>
      <c r="O143" s="124">
        <f t="shared" si="151"/>
        <v>113300</v>
      </c>
      <c r="P143" s="124">
        <f t="shared" si="151"/>
        <v>185000</v>
      </c>
      <c r="Q143" s="124">
        <f t="shared" si="151"/>
        <v>98650</v>
      </c>
      <c r="R143" s="124">
        <f t="shared" si="151"/>
        <v>176650</v>
      </c>
      <c r="S143" s="572">
        <f t="shared" si="151"/>
        <v>166650</v>
      </c>
      <c r="T143" s="572">
        <f t="shared" si="151"/>
        <v>0</v>
      </c>
      <c r="U143" s="572">
        <f t="shared" si="152"/>
        <v>166650</v>
      </c>
      <c r="V143" s="572">
        <f t="shared" si="153"/>
        <v>0</v>
      </c>
      <c r="W143" s="572">
        <f t="shared" si="154"/>
        <v>166650</v>
      </c>
      <c r="X143" s="572">
        <f t="shared" si="153"/>
        <v>1170</v>
      </c>
      <c r="Y143" s="572">
        <f t="shared" si="155"/>
        <v>167820</v>
      </c>
    </row>
    <row r="144" spans="1:25">
      <c r="A144" s="115">
        <f t="shared" si="158"/>
        <v>141</v>
      </c>
      <c r="B144" s="3"/>
      <c r="C144" s="3" t="s">
        <v>5</v>
      </c>
      <c r="D144" s="3"/>
      <c r="E144" s="11">
        <f>SUM(E145:E149)</f>
        <v>917126</v>
      </c>
      <c r="F144" s="11" t="e">
        <f>F145+#REF!+F146+F147+F148+F149</f>
        <v>#REF!</v>
      </c>
      <c r="G144" s="31">
        <f>SUM(G145:G149)</f>
        <v>820174</v>
      </c>
      <c r="H144" s="31">
        <f>SUM(H145:H149)</f>
        <v>488004</v>
      </c>
      <c r="I144" s="31">
        <f>SUM(I145:I149)</f>
        <v>1308178</v>
      </c>
      <c r="J144" s="31">
        <f>SUM(J145:J149)</f>
        <v>-205064</v>
      </c>
      <c r="K144" s="31">
        <f>SUM(K145:K149)</f>
        <v>1103114</v>
      </c>
      <c r="L144" s="11">
        <f>L118+L92+L66+L40+L13</f>
        <v>-183050</v>
      </c>
      <c r="M144" s="31">
        <f>K144+L144</f>
        <v>920064</v>
      </c>
      <c r="N144" s="11">
        <f t="shared" ref="N144:S144" si="159">SUM(N145:N149)</f>
        <v>901980</v>
      </c>
      <c r="O144" s="123">
        <f t="shared" si="159"/>
        <v>1408344</v>
      </c>
      <c r="P144" s="123">
        <f t="shared" si="159"/>
        <v>1483293</v>
      </c>
      <c r="Q144" s="123">
        <f t="shared" si="159"/>
        <v>1597610</v>
      </c>
      <c r="R144" s="123">
        <f t="shared" si="159"/>
        <v>1344387</v>
      </c>
      <c r="S144" s="567">
        <f t="shared" si="159"/>
        <v>1726055</v>
      </c>
      <c r="T144" s="567">
        <f t="shared" ref="T144:W144" si="160">SUM(T145:T149)</f>
        <v>28576</v>
      </c>
      <c r="U144" s="567">
        <f t="shared" si="160"/>
        <v>1754631</v>
      </c>
      <c r="V144" s="567">
        <f t="shared" si="160"/>
        <v>-14971</v>
      </c>
      <c r="W144" s="567">
        <f t="shared" si="160"/>
        <v>1739660</v>
      </c>
      <c r="X144" s="567">
        <f>SUM(X145:X149)</f>
        <v>200870</v>
      </c>
      <c r="Y144" s="567">
        <f t="shared" ref="Y144" si="161">SUM(Y145:Y149)</f>
        <v>1940530</v>
      </c>
    </row>
    <row r="145" spans="1:25">
      <c r="A145" s="115">
        <f t="shared" si="158"/>
        <v>142</v>
      </c>
      <c r="B145" s="3"/>
      <c r="C145" s="3"/>
      <c r="D145" s="23" t="s">
        <v>20</v>
      </c>
      <c r="E145" s="19">
        <f>SUM(E119,E93,E67,E41,E14)</f>
        <v>0</v>
      </c>
      <c r="F145" s="9">
        <v>990</v>
      </c>
      <c r="G145" s="29">
        <f>G119+G93+G67+G41+G14</f>
        <v>0</v>
      </c>
      <c r="H145" s="38">
        <f>SUM(H119,H93,H67,H41,H14)</f>
        <v>0</v>
      </c>
      <c r="I145" s="9">
        <f t="shared" si="156"/>
        <v>0</v>
      </c>
      <c r="J145" s="9">
        <f>J14</f>
        <v>174</v>
      </c>
      <c r="K145" s="29">
        <f>I145+J145</f>
        <v>174</v>
      </c>
      <c r="L145" s="3">
        <v>0</v>
      </c>
      <c r="M145" s="29">
        <f>K145+L145</f>
        <v>174</v>
      </c>
      <c r="N145" s="9">
        <v>0</v>
      </c>
      <c r="O145" s="124">
        <f t="shared" ref="O145:T149" si="162">SUM(O14,O41,O67,O93,O119)</f>
        <v>202056</v>
      </c>
      <c r="P145" s="124">
        <f t="shared" si="162"/>
        <v>179069</v>
      </c>
      <c r="Q145" s="124">
        <f t="shared" si="162"/>
        <v>289487</v>
      </c>
      <c r="R145" s="124">
        <f t="shared" si="162"/>
        <v>408455</v>
      </c>
      <c r="S145" s="572">
        <f t="shared" si="162"/>
        <v>510000</v>
      </c>
      <c r="T145" s="572">
        <f t="shared" si="162"/>
        <v>14451</v>
      </c>
      <c r="U145" s="572">
        <f t="shared" ref="U145:U149" si="163">SUM(S145:T145)</f>
        <v>524451</v>
      </c>
      <c r="V145" s="572">
        <f t="shared" ref="V145:X145" si="164">SUM(V14,V41,V67,V93,V119)</f>
        <v>0</v>
      </c>
      <c r="W145" s="572">
        <f t="shared" ref="W145:W149" si="165">SUM(U145:V145)</f>
        <v>524451</v>
      </c>
      <c r="X145" s="572">
        <f t="shared" si="164"/>
        <v>208419</v>
      </c>
      <c r="Y145" s="572">
        <f t="shared" ref="Y145:Y149" si="166">SUM(W145:X145)</f>
        <v>732870</v>
      </c>
    </row>
    <row r="146" spans="1:25">
      <c r="A146" s="115">
        <f t="shared" si="158"/>
        <v>143</v>
      </c>
      <c r="B146" s="3"/>
      <c r="C146" s="3"/>
      <c r="D146" s="22" t="s">
        <v>519</v>
      </c>
      <c r="E146" s="19">
        <f>SUM(E120,E94,E68,E42,E15)</f>
        <v>0</v>
      </c>
      <c r="F146" s="9">
        <v>54646</v>
      </c>
      <c r="G146" s="29">
        <f>G120+G94+G68+G42+G15</f>
        <v>25000</v>
      </c>
      <c r="H146" s="38">
        <f>SUM(H120,H94,H68,H42,H15)</f>
        <v>26174</v>
      </c>
      <c r="I146" s="9">
        <f t="shared" si="156"/>
        <v>51174</v>
      </c>
      <c r="J146" s="9">
        <f>J15</f>
        <v>1432</v>
      </c>
      <c r="K146" s="29">
        <f>J146+I146</f>
        <v>52606</v>
      </c>
      <c r="L146" s="3">
        <v>0</v>
      </c>
      <c r="M146" s="29">
        <f>K146+L146</f>
        <v>52606</v>
      </c>
      <c r="N146" s="9">
        <v>0</v>
      </c>
      <c r="O146" s="124">
        <f t="shared" si="162"/>
        <v>44077</v>
      </c>
      <c r="P146" s="124">
        <f t="shared" si="162"/>
        <v>120090</v>
      </c>
      <c r="Q146" s="124">
        <f t="shared" si="162"/>
        <v>138474</v>
      </c>
      <c r="R146" s="124">
        <f t="shared" si="162"/>
        <v>99843</v>
      </c>
      <c r="S146" s="572">
        <f t="shared" si="162"/>
        <v>132522</v>
      </c>
      <c r="T146" s="572">
        <f>SUM(T15,T42,T68,T94,T120)</f>
        <v>8542</v>
      </c>
      <c r="U146" s="572">
        <f t="shared" si="163"/>
        <v>141064</v>
      </c>
      <c r="V146" s="572">
        <f>SUM(V15,V42,V68,V94,V120)</f>
        <v>139</v>
      </c>
      <c r="W146" s="572">
        <f t="shared" si="165"/>
        <v>141203</v>
      </c>
      <c r="X146" s="572">
        <f>SUM(X15,X42,X68,X94,X120)</f>
        <v>0</v>
      </c>
      <c r="Y146" s="572">
        <f t="shared" si="166"/>
        <v>141203</v>
      </c>
    </row>
    <row r="147" spans="1:25">
      <c r="A147" s="115">
        <f t="shared" si="158"/>
        <v>144</v>
      </c>
      <c r="B147" s="3"/>
      <c r="C147" s="3"/>
      <c r="D147" s="22" t="s">
        <v>520</v>
      </c>
      <c r="E147" s="9">
        <f>SUM(E121,E95,E69,E43,E16)</f>
        <v>456646</v>
      </c>
      <c r="F147" s="9">
        <f t="shared" ref="F147:G149" si="167">SUM(F121,F95,F69,F43,F16)</f>
        <v>556464</v>
      </c>
      <c r="G147" s="29">
        <f t="shared" si="167"/>
        <v>584074</v>
      </c>
      <c r="H147" s="38">
        <f>SUM(H121,H95,H69,H43,H16)</f>
        <v>-28000</v>
      </c>
      <c r="I147" s="9">
        <f t="shared" si="156"/>
        <v>556074</v>
      </c>
      <c r="J147" s="9">
        <f>J16</f>
        <v>6184</v>
      </c>
      <c r="K147" s="29">
        <f>J147+I147</f>
        <v>562258</v>
      </c>
      <c r="L147" s="9">
        <f>L16</f>
        <v>7700</v>
      </c>
      <c r="M147" s="29">
        <f>+K147+L147</f>
        <v>569958</v>
      </c>
      <c r="N147" s="9">
        <f>N16</f>
        <v>534237</v>
      </c>
      <c r="O147" s="124">
        <f t="shared" si="162"/>
        <v>487345</v>
      </c>
      <c r="P147" s="124">
        <f t="shared" si="162"/>
        <v>665800</v>
      </c>
      <c r="Q147" s="124">
        <f t="shared" si="162"/>
        <v>577600</v>
      </c>
      <c r="R147" s="124">
        <f t="shared" si="162"/>
        <v>560100</v>
      </c>
      <c r="S147" s="572">
        <f t="shared" si="162"/>
        <v>827437</v>
      </c>
      <c r="T147" s="572">
        <f t="shared" si="162"/>
        <v>9077</v>
      </c>
      <c r="U147" s="572">
        <f t="shared" si="163"/>
        <v>836514</v>
      </c>
      <c r="V147" s="572">
        <f t="shared" ref="V147:X149" si="168">SUM(V16,V43,V69,V95,V121)</f>
        <v>13955</v>
      </c>
      <c r="W147" s="572">
        <f t="shared" si="165"/>
        <v>850469</v>
      </c>
      <c r="X147" s="572">
        <f t="shared" si="168"/>
        <v>600</v>
      </c>
      <c r="Y147" s="572">
        <f t="shared" si="166"/>
        <v>851069</v>
      </c>
    </row>
    <row r="148" spans="1:25">
      <c r="A148" s="115">
        <f t="shared" si="158"/>
        <v>145</v>
      </c>
      <c r="B148" s="3"/>
      <c r="C148" s="3"/>
      <c r="D148" s="22" t="s">
        <v>102</v>
      </c>
      <c r="E148" s="9">
        <f>SUM(E122,E96,E70,E44,E17)</f>
        <v>50000</v>
      </c>
      <c r="F148" s="9">
        <f t="shared" si="167"/>
        <v>109538</v>
      </c>
      <c r="G148" s="29">
        <f t="shared" si="167"/>
        <v>50000</v>
      </c>
      <c r="H148" s="38">
        <f>SUM(H122,H96,H70,H44,H17)</f>
        <v>489830</v>
      </c>
      <c r="I148" s="9">
        <f t="shared" si="156"/>
        <v>539830</v>
      </c>
      <c r="J148" s="9">
        <f>J17</f>
        <v>-212854</v>
      </c>
      <c r="K148" s="29">
        <f>J148+I148</f>
        <v>326976</v>
      </c>
      <c r="L148" s="9">
        <f>L17</f>
        <v>-156406</v>
      </c>
      <c r="M148" s="29">
        <f t="shared" ref="M148:M154" si="169">K148+L148</f>
        <v>170570</v>
      </c>
      <c r="N148" s="9">
        <f>N17</f>
        <v>298576</v>
      </c>
      <c r="O148" s="124">
        <f t="shared" si="162"/>
        <v>542717</v>
      </c>
      <c r="P148" s="124">
        <f t="shared" si="162"/>
        <v>430053</v>
      </c>
      <c r="Q148" s="124">
        <f t="shared" si="162"/>
        <v>218351</v>
      </c>
      <c r="R148" s="124">
        <f t="shared" si="162"/>
        <v>222074</v>
      </c>
      <c r="S148" s="572">
        <f t="shared" si="162"/>
        <v>202181</v>
      </c>
      <c r="T148" s="572">
        <f t="shared" si="162"/>
        <v>-3494</v>
      </c>
      <c r="U148" s="572">
        <f t="shared" si="163"/>
        <v>198687</v>
      </c>
      <c r="V148" s="572">
        <f t="shared" si="168"/>
        <v>-29065</v>
      </c>
      <c r="W148" s="572">
        <f t="shared" si="165"/>
        <v>169622</v>
      </c>
      <c r="X148" s="572">
        <f t="shared" si="168"/>
        <v>-8149</v>
      </c>
      <c r="Y148" s="572">
        <f t="shared" si="166"/>
        <v>161473</v>
      </c>
    </row>
    <row r="149" spans="1:25">
      <c r="A149" s="115">
        <f t="shared" si="158"/>
        <v>146</v>
      </c>
      <c r="B149" s="3"/>
      <c r="C149" s="3"/>
      <c r="D149" s="22" t="s">
        <v>103</v>
      </c>
      <c r="E149" s="9">
        <f>SUM(E123,E97,E71,E45,E18)</f>
        <v>410480</v>
      </c>
      <c r="F149" s="9">
        <f t="shared" si="167"/>
        <v>456696</v>
      </c>
      <c r="G149" s="29">
        <f t="shared" si="167"/>
        <v>161100</v>
      </c>
      <c r="H149" s="38">
        <f>SUM(H123,H97,H71,H45,H18)</f>
        <v>0</v>
      </c>
      <c r="I149" s="9">
        <f t="shared" si="156"/>
        <v>161100</v>
      </c>
      <c r="J149" s="9">
        <f>J18</f>
        <v>0</v>
      </c>
      <c r="K149" s="29">
        <f>J149+I149</f>
        <v>161100</v>
      </c>
      <c r="L149" s="9">
        <f>L18</f>
        <v>-34344</v>
      </c>
      <c r="M149" s="29">
        <f t="shared" si="169"/>
        <v>126756</v>
      </c>
      <c r="N149" s="9">
        <f>N18</f>
        <v>69167</v>
      </c>
      <c r="O149" s="124">
        <f t="shared" si="162"/>
        <v>132149</v>
      </c>
      <c r="P149" s="124">
        <f t="shared" si="162"/>
        <v>88281</v>
      </c>
      <c r="Q149" s="124">
        <f t="shared" si="162"/>
        <v>373698</v>
      </c>
      <c r="R149" s="124">
        <f t="shared" si="162"/>
        <v>53915</v>
      </c>
      <c r="S149" s="572">
        <f t="shared" si="162"/>
        <v>53915</v>
      </c>
      <c r="T149" s="572">
        <f t="shared" si="162"/>
        <v>0</v>
      </c>
      <c r="U149" s="572">
        <f t="shared" si="163"/>
        <v>53915</v>
      </c>
      <c r="V149" s="572">
        <f t="shared" si="168"/>
        <v>0</v>
      </c>
      <c r="W149" s="572">
        <f t="shared" si="165"/>
        <v>53915</v>
      </c>
      <c r="X149" s="572">
        <f t="shared" si="168"/>
        <v>0</v>
      </c>
      <c r="Y149" s="572">
        <f t="shared" si="166"/>
        <v>53915</v>
      </c>
    </row>
    <row r="150" spans="1:25">
      <c r="A150" s="115">
        <f t="shared" si="158"/>
        <v>147</v>
      </c>
      <c r="B150" s="16" t="s">
        <v>9</v>
      </c>
      <c r="C150" s="16"/>
      <c r="D150" s="16"/>
      <c r="E150" s="11">
        <f>SUM(E153,E152,E151)</f>
        <v>4348414</v>
      </c>
      <c r="F150" s="11">
        <f t="shared" ref="F150:K150" si="170">SUM(F153,F152,F151)</f>
        <v>6483291</v>
      </c>
      <c r="G150" s="31">
        <f t="shared" si="170"/>
        <v>3980355</v>
      </c>
      <c r="H150" s="31">
        <f t="shared" si="170"/>
        <v>-434457</v>
      </c>
      <c r="I150" s="31">
        <f t="shared" si="170"/>
        <v>3545898</v>
      </c>
      <c r="J150" s="31">
        <f t="shared" si="170"/>
        <v>-35914</v>
      </c>
      <c r="K150" s="31">
        <f t="shared" si="170"/>
        <v>3509984</v>
      </c>
      <c r="L150" s="11">
        <f>L151+L152</f>
        <v>222651</v>
      </c>
      <c r="M150" s="31">
        <f t="shared" si="169"/>
        <v>3732635</v>
      </c>
      <c r="N150" s="11">
        <f>N151+N152+N153</f>
        <v>1576837</v>
      </c>
      <c r="O150" s="121">
        <f>SUM(O151:O153)</f>
        <v>894806</v>
      </c>
      <c r="P150" s="121">
        <f>SUM(P151:P153)</f>
        <v>9413221</v>
      </c>
      <c r="Q150" s="121">
        <f>SUM(Q151:Q153)</f>
        <v>5136745</v>
      </c>
      <c r="R150" s="121">
        <f>SUM(R151:R153)</f>
        <v>3490943</v>
      </c>
      <c r="S150" s="122">
        <f>SUM(S151:S153)</f>
        <v>907898</v>
      </c>
      <c r="T150" s="122">
        <f t="shared" ref="T150:Y150" si="171">SUM(T151:T153)</f>
        <v>277171</v>
      </c>
      <c r="U150" s="122">
        <f t="shared" si="171"/>
        <v>1185069</v>
      </c>
      <c r="V150" s="122">
        <f t="shared" si="171"/>
        <v>9030</v>
      </c>
      <c r="W150" s="122">
        <f t="shared" si="171"/>
        <v>1194099</v>
      </c>
      <c r="X150" s="122">
        <f t="shared" si="171"/>
        <v>163460</v>
      </c>
      <c r="Y150" s="122">
        <f t="shared" si="171"/>
        <v>1357559</v>
      </c>
    </row>
    <row r="151" spans="1:25">
      <c r="A151" s="115">
        <f t="shared" si="158"/>
        <v>148</v>
      </c>
      <c r="B151" s="3"/>
      <c r="C151" s="3" t="s">
        <v>10</v>
      </c>
      <c r="D151" s="3"/>
      <c r="E151" s="9">
        <f t="shared" ref="E151:H152" si="172">SUM(E125,E99,E73,E47,E20)</f>
        <v>4223234</v>
      </c>
      <c r="F151" s="9">
        <f t="shared" si="172"/>
        <v>5227625</v>
      </c>
      <c r="G151" s="29">
        <f t="shared" si="172"/>
        <v>3274039</v>
      </c>
      <c r="H151" s="37">
        <f t="shared" si="172"/>
        <v>-438012</v>
      </c>
      <c r="I151" s="9">
        <f t="shared" si="156"/>
        <v>2836027</v>
      </c>
      <c r="J151" s="9">
        <f>J125+J99+J73+J47+J20</f>
        <v>-398223</v>
      </c>
      <c r="K151" s="29">
        <f>J151+I151</f>
        <v>2437804</v>
      </c>
      <c r="L151" s="9">
        <f>L20+L47</f>
        <v>213502</v>
      </c>
      <c r="M151" s="29">
        <f t="shared" si="169"/>
        <v>2651306</v>
      </c>
      <c r="N151" s="9">
        <f>N99+N47+N20</f>
        <v>848063</v>
      </c>
      <c r="O151" s="124">
        <f t="shared" ref="O151:T152" si="173">O20+O47+O73+O99+O125</f>
        <v>588862</v>
      </c>
      <c r="P151" s="124">
        <f t="shared" si="173"/>
        <v>8247452</v>
      </c>
      <c r="Q151" s="124">
        <f t="shared" si="173"/>
        <v>4983477</v>
      </c>
      <c r="R151" s="124">
        <f t="shared" si="173"/>
        <v>3335248</v>
      </c>
      <c r="S151" s="572">
        <f t="shared" si="173"/>
        <v>282003</v>
      </c>
      <c r="T151" s="572">
        <f t="shared" si="173"/>
        <v>12586</v>
      </c>
      <c r="U151" s="572">
        <f t="shared" ref="U151:U162" si="174">SUM(S151:T151)</f>
        <v>294589</v>
      </c>
      <c r="V151" s="572">
        <f t="shared" ref="V151:X152" si="175">V20+V47+V73+V99+V125</f>
        <v>-18200</v>
      </c>
      <c r="W151" s="572">
        <f t="shared" ref="W151:W152" si="176">SUM(U151:V151)</f>
        <v>276389</v>
      </c>
      <c r="X151" s="572">
        <f t="shared" si="175"/>
        <v>20092</v>
      </c>
      <c r="Y151" s="572">
        <f t="shared" ref="Y151:Y152" si="177">SUM(W151:X151)</f>
        <v>296481</v>
      </c>
    </row>
    <row r="152" spans="1:25">
      <c r="A152" s="115">
        <f t="shared" si="158"/>
        <v>149</v>
      </c>
      <c r="B152" s="3"/>
      <c r="C152" s="3" t="s">
        <v>11</v>
      </c>
      <c r="D152" s="3"/>
      <c r="E152" s="9">
        <f t="shared" si="172"/>
        <v>110180</v>
      </c>
      <c r="F152" s="9">
        <f t="shared" si="172"/>
        <v>1205666</v>
      </c>
      <c r="G152" s="29">
        <f t="shared" si="172"/>
        <v>677316</v>
      </c>
      <c r="H152" s="37">
        <f t="shared" si="172"/>
        <v>-4445</v>
      </c>
      <c r="I152" s="9">
        <f t="shared" si="156"/>
        <v>672871</v>
      </c>
      <c r="J152" s="9">
        <f>J126+J99+J73+J48+J21</f>
        <v>350622</v>
      </c>
      <c r="K152" s="29">
        <f>J152+I152</f>
        <v>1023493</v>
      </c>
      <c r="L152" s="9">
        <f>L21</f>
        <v>9149</v>
      </c>
      <c r="M152" s="29">
        <f t="shared" si="169"/>
        <v>1032642</v>
      </c>
      <c r="N152" s="9">
        <f>N21</f>
        <v>673774</v>
      </c>
      <c r="O152" s="124">
        <f t="shared" si="173"/>
        <v>305944</v>
      </c>
      <c r="P152" s="124">
        <f t="shared" si="173"/>
        <v>1165769</v>
      </c>
      <c r="Q152" s="124">
        <f t="shared" si="173"/>
        <v>151154</v>
      </c>
      <c r="R152" s="124">
        <f t="shared" si="173"/>
        <v>31250</v>
      </c>
      <c r="S152" s="572">
        <f t="shared" si="173"/>
        <v>535214</v>
      </c>
      <c r="T152" s="572">
        <f t="shared" si="173"/>
        <v>264574</v>
      </c>
      <c r="U152" s="572">
        <f t="shared" si="174"/>
        <v>799788</v>
      </c>
      <c r="V152" s="572">
        <f t="shared" si="175"/>
        <v>27230</v>
      </c>
      <c r="W152" s="572">
        <f t="shared" si="176"/>
        <v>827018</v>
      </c>
      <c r="X152" s="572">
        <f t="shared" si="175"/>
        <v>143368</v>
      </c>
      <c r="Y152" s="572">
        <f t="shared" si="177"/>
        <v>970386</v>
      </c>
    </row>
    <row r="153" spans="1:25">
      <c r="A153" s="115">
        <f t="shared" si="158"/>
        <v>150</v>
      </c>
      <c r="B153" s="3"/>
      <c r="C153" s="3" t="s">
        <v>12</v>
      </c>
      <c r="D153" s="3"/>
      <c r="E153" s="9">
        <f t="shared" ref="E153:J153" si="178">E127+E101+E75+E49+E22</f>
        <v>15000</v>
      </c>
      <c r="F153" s="9">
        <f t="shared" si="178"/>
        <v>50000</v>
      </c>
      <c r="G153" s="9">
        <f t="shared" si="178"/>
        <v>29000</v>
      </c>
      <c r="H153" s="9">
        <f t="shared" si="178"/>
        <v>8000</v>
      </c>
      <c r="I153" s="9">
        <f t="shared" si="178"/>
        <v>37000</v>
      </c>
      <c r="J153" s="9">
        <f t="shared" si="178"/>
        <v>11687</v>
      </c>
      <c r="K153" s="29">
        <f>J153+I153</f>
        <v>48687</v>
      </c>
      <c r="L153" s="3">
        <v>0</v>
      </c>
      <c r="M153" s="29">
        <f t="shared" si="169"/>
        <v>48687</v>
      </c>
      <c r="N153" s="9">
        <f>N154+N155+N156</f>
        <v>55000</v>
      </c>
      <c r="O153" s="120">
        <f>SUM(O154:O156)</f>
        <v>0</v>
      </c>
      <c r="P153" s="120">
        <f>SUM(P154:P156)</f>
        <v>0</v>
      </c>
      <c r="Q153" s="120">
        <f>SUM(Q154:Q156)</f>
        <v>2114</v>
      </c>
      <c r="R153" s="120">
        <f>SUM(R154:R156)</f>
        <v>124445</v>
      </c>
      <c r="S153" s="568">
        <f>SUM(S154:S156)</f>
        <v>90681</v>
      </c>
      <c r="T153" s="568">
        <f t="shared" ref="T153:Y153" si="179">SUM(T154:T156)</f>
        <v>11</v>
      </c>
      <c r="U153" s="568">
        <f t="shared" si="179"/>
        <v>90692</v>
      </c>
      <c r="V153" s="568">
        <f t="shared" si="179"/>
        <v>0</v>
      </c>
      <c r="W153" s="568">
        <f t="shared" si="179"/>
        <v>90692</v>
      </c>
      <c r="X153" s="568">
        <f t="shared" si="179"/>
        <v>0</v>
      </c>
      <c r="Y153" s="568">
        <f t="shared" si="179"/>
        <v>90692</v>
      </c>
    </row>
    <row r="154" spans="1:25">
      <c r="A154" s="115">
        <f t="shared" si="158"/>
        <v>151</v>
      </c>
      <c r="B154" s="3"/>
      <c r="C154" s="3"/>
      <c r="D154" s="22" t="s">
        <v>13</v>
      </c>
      <c r="E154" s="19">
        <f>SUM(E128,E102,E76,E50,E23)</f>
        <v>0</v>
      </c>
      <c r="F154" s="9">
        <v>450</v>
      </c>
      <c r="G154" s="29">
        <f>G128+G102+G76+G50+G23</f>
        <v>0</v>
      </c>
      <c r="H154" s="38">
        <f>SUM(H128,H102,H76,H50,H23)</f>
        <v>3000</v>
      </c>
      <c r="I154" s="9">
        <f t="shared" si="156"/>
        <v>3000</v>
      </c>
      <c r="J154" s="9">
        <f>J23</f>
        <v>11687</v>
      </c>
      <c r="K154" s="29">
        <f>J154+I154</f>
        <v>14687</v>
      </c>
      <c r="L154" s="3">
        <v>0</v>
      </c>
      <c r="M154" s="29">
        <f t="shared" si="169"/>
        <v>14687</v>
      </c>
      <c r="N154" s="9">
        <f>N23</f>
        <v>5000</v>
      </c>
      <c r="O154" s="124">
        <f t="shared" ref="O154:T156" si="180">SUM(O23,O52,O78,O104,O130)</f>
        <v>0</v>
      </c>
      <c r="P154" s="124">
        <f t="shared" si="180"/>
        <v>0</v>
      </c>
      <c r="Q154" s="124">
        <f t="shared" si="180"/>
        <v>2114</v>
      </c>
      <c r="R154" s="124">
        <f t="shared" si="180"/>
        <v>114445</v>
      </c>
      <c r="S154" s="572">
        <f t="shared" si="180"/>
        <v>85181</v>
      </c>
      <c r="T154" s="572">
        <f t="shared" si="180"/>
        <v>11</v>
      </c>
      <c r="U154" s="572">
        <f t="shared" si="174"/>
        <v>85192</v>
      </c>
      <c r="V154" s="572">
        <f t="shared" ref="V154:X156" si="181">SUM(V23,V52,V78,V104,V130)</f>
        <v>0</v>
      </c>
      <c r="W154" s="572">
        <f t="shared" ref="W154:W156" si="182">SUM(U154:V154)</f>
        <v>85192</v>
      </c>
      <c r="X154" s="572">
        <f t="shared" si="181"/>
        <v>0</v>
      </c>
      <c r="Y154" s="572">
        <f t="shared" ref="Y154:Y156" si="183">SUM(W154:X154)</f>
        <v>85192</v>
      </c>
    </row>
    <row r="155" spans="1:25" ht="30">
      <c r="A155" s="115">
        <f t="shared" si="158"/>
        <v>152</v>
      </c>
      <c r="B155" s="3"/>
      <c r="C155" s="3"/>
      <c r="D155" s="18" t="s">
        <v>503</v>
      </c>
      <c r="E155" s="19">
        <f>SUM(E129,E103,E77,E51,E24)</f>
        <v>0</v>
      </c>
      <c r="F155" s="9">
        <v>0</v>
      </c>
      <c r="G155" s="29">
        <f>G129+G103+G77+G51+G24</f>
        <v>0</v>
      </c>
      <c r="H155" s="38">
        <f>SUM(H129,H103,H77,H51,H24)</f>
        <v>0</v>
      </c>
      <c r="I155" s="9">
        <f t="shared" si="156"/>
        <v>0</v>
      </c>
      <c r="J155" s="9">
        <v>0</v>
      </c>
      <c r="K155" s="29">
        <v>0</v>
      </c>
      <c r="L155" s="3">
        <v>0</v>
      </c>
      <c r="M155" s="26">
        <v>0</v>
      </c>
      <c r="N155" s="9">
        <v>0</v>
      </c>
      <c r="O155" s="124">
        <f t="shared" si="180"/>
        <v>0</v>
      </c>
      <c r="P155" s="124">
        <f t="shared" si="180"/>
        <v>0</v>
      </c>
      <c r="Q155" s="124">
        <f t="shared" si="180"/>
        <v>0</v>
      </c>
      <c r="R155" s="124">
        <f t="shared" si="180"/>
        <v>10000</v>
      </c>
      <c r="S155" s="572">
        <f t="shared" si="180"/>
        <v>5500</v>
      </c>
      <c r="T155" s="572">
        <f t="shared" si="180"/>
        <v>0</v>
      </c>
      <c r="U155" s="572">
        <f t="shared" si="174"/>
        <v>5500</v>
      </c>
      <c r="V155" s="572">
        <f t="shared" si="181"/>
        <v>0</v>
      </c>
      <c r="W155" s="572">
        <f t="shared" si="182"/>
        <v>5500</v>
      </c>
      <c r="X155" s="572">
        <f t="shared" si="181"/>
        <v>0</v>
      </c>
      <c r="Y155" s="572">
        <f t="shared" si="183"/>
        <v>5500</v>
      </c>
    </row>
    <row r="156" spans="1:25">
      <c r="A156" s="115">
        <f t="shared" si="158"/>
        <v>153</v>
      </c>
      <c r="B156" s="3"/>
      <c r="C156" s="3"/>
      <c r="D156" s="22" t="s">
        <v>14</v>
      </c>
      <c r="E156" s="19">
        <f>SUM(E130,E104,E78,E52,E25)</f>
        <v>0</v>
      </c>
      <c r="F156" s="9">
        <v>-450</v>
      </c>
      <c r="G156" s="29"/>
      <c r="H156" s="38">
        <f>SUM(H130,H104,H78,H52,H25)</f>
        <v>5000</v>
      </c>
      <c r="I156" s="9">
        <f t="shared" si="156"/>
        <v>5000</v>
      </c>
      <c r="J156" s="9">
        <v>0</v>
      </c>
      <c r="K156" s="29">
        <v>5000</v>
      </c>
      <c r="L156" s="3">
        <v>0</v>
      </c>
      <c r="M156" s="29">
        <f>K156+L156</f>
        <v>5000</v>
      </c>
      <c r="N156" s="9">
        <f>N25</f>
        <v>50000</v>
      </c>
      <c r="O156" s="124">
        <f t="shared" si="180"/>
        <v>0</v>
      </c>
      <c r="P156" s="124">
        <f t="shared" si="180"/>
        <v>0</v>
      </c>
      <c r="Q156" s="124">
        <f t="shared" si="180"/>
        <v>0</v>
      </c>
      <c r="R156" s="124">
        <f t="shared" si="180"/>
        <v>0</v>
      </c>
      <c r="S156" s="572">
        <f t="shared" si="180"/>
        <v>0</v>
      </c>
      <c r="T156" s="572">
        <f t="shared" si="180"/>
        <v>0</v>
      </c>
      <c r="U156" s="572">
        <f t="shared" si="174"/>
        <v>0</v>
      </c>
      <c r="V156" s="572">
        <f t="shared" si="181"/>
        <v>0</v>
      </c>
      <c r="W156" s="572">
        <f t="shared" si="182"/>
        <v>0</v>
      </c>
      <c r="X156" s="572">
        <f t="shared" si="181"/>
        <v>0</v>
      </c>
      <c r="Y156" s="572">
        <f t="shared" si="183"/>
        <v>0</v>
      </c>
    </row>
    <row r="157" spans="1:25">
      <c r="A157" s="115">
        <f t="shared" si="158"/>
        <v>154</v>
      </c>
      <c r="B157" s="16" t="s">
        <v>15</v>
      </c>
      <c r="C157" s="16"/>
      <c r="D157" s="16"/>
      <c r="E157" s="11">
        <f>SUM(E158:E161)</f>
        <v>1123643</v>
      </c>
      <c r="F157" s="11">
        <f t="shared" ref="F157:K157" si="184">SUM(F158:F161)</f>
        <v>1598890</v>
      </c>
      <c r="G157" s="31">
        <f t="shared" si="184"/>
        <v>1297839</v>
      </c>
      <c r="H157" s="31">
        <f t="shared" si="184"/>
        <v>20668</v>
      </c>
      <c r="I157" s="31">
        <f t="shared" si="184"/>
        <v>1318507</v>
      </c>
      <c r="J157" s="31">
        <f t="shared" si="184"/>
        <v>26367</v>
      </c>
      <c r="K157" s="31">
        <f t="shared" si="184"/>
        <v>1344874</v>
      </c>
      <c r="L157" s="11">
        <f>L158+L159+L160+L161</f>
        <v>46487</v>
      </c>
      <c r="M157" s="31">
        <f>K157+L157</f>
        <v>1391361</v>
      </c>
      <c r="N157" s="11">
        <f>N158+N159+N160+N161</f>
        <v>1326871</v>
      </c>
      <c r="O157" s="121">
        <f>SUM(O158:O161)</f>
        <v>1382172</v>
      </c>
      <c r="P157" s="121">
        <f>SUM(P158:P161)</f>
        <v>1583894</v>
      </c>
      <c r="Q157" s="121">
        <f>SUM(Q158:Q161)</f>
        <v>1897558</v>
      </c>
      <c r="R157" s="121">
        <f>SUM(R158:R161)</f>
        <v>2218814</v>
      </c>
      <c r="S157" s="122">
        <f>SUM(S158:S161)</f>
        <v>2516530</v>
      </c>
      <c r="T157" s="122">
        <f t="shared" ref="T157:Y157" si="185">SUM(T158:T161)</f>
        <v>-9150</v>
      </c>
      <c r="U157" s="122">
        <f t="shared" si="185"/>
        <v>2507380</v>
      </c>
      <c r="V157" s="122">
        <f t="shared" si="185"/>
        <v>49094</v>
      </c>
      <c r="W157" s="122">
        <f t="shared" si="185"/>
        <v>2556474</v>
      </c>
      <c r="X157" s="122">
        <f t="shared" si="185"/>
        <v>21337</v>
      </c>
      <c r="Y157" s="122">
        <f t="shared" si="185"/>
        <v>2577811</v>
      </c>
    </row>
    <row r="158" spans="1:25">
      <c r="A158" s="115">
        <f t="shared" si="158"/>
        <v>155</v>
      </c>
      <c r="B158" s="3"/>
      <c r="C158" s="3" t="s">
        <v>16</v>
      </c>
      <c r="D158" s="3"/>
      <c r="E158" s="9">
        <f>SUM(E132,E106,E80,E54,E27)</f>
        <v>0</v>
      </c>
      <c r="F158" s="9">
        <v>0</v>
      </c>
      <c r="G158" s="29">
        <f>SUM(G132,G106,G80,G54,G27)</f>
        <v>0</v>
      </c>
      <c r="H158" s="37">
        <f>SUM(H132,H106,H80,H54,H27)</f>
        <v>0</v>
      </c>
      <c r="I158" s="9">
        <f t="shared" si="156"/>
        <v>0</v>
      </c>
      <c r="J158" s="9">
        <v>0</v>
      </c>
      <c r="K158" s="29">
        <v>0</v>
      </c>
      <c r="L158" s="3">
        <v>0</v>
      </c>
      <c r="M158" s="26">
        <v>0</v>
      </c>
      <c r="N158" s="9">
        <v>0</v>
      </c>
      <c r="O158" s="124">
        <f>SUM(O27,O56,O82,O108,O134)</f>
        <v>0</v>
      </c>
      <c r="P158" s="124">
        <f>SUM(P27,P56,P82,P108,P134)</f>
        <v>0</v>
      </c>
      <c r="Q158" s="124">
        <f>SUM(Q27,Q56,Q82,Q108,Q134)</f>
        <v>0</v>
      </c>
      <c r="R158" s="124">
        <f>SUM(R27,R56,R82,R108,R134)</f>
        <v>0</v>
      </c>
      <c r="S158" s="572">
        <f>SUM(S27,S56,S82,S108,S134)</f>
        <v>0</v>
      </c>
      <c r="T158" s="572">
        <f t="shared" ref="T158:V158" si="186">SUM(T27,T56,T82,T108,T134)</f>
        <v>0</v>
      </c>
      <c r="U158" s="572">
        <f t="shared" si="174"/>
        <v>0</v>
      </c>
      <c r="V158" s="572">
        <f t="shared" si="186"/>
        <v>0</v>
      </c>
      <c r="W158" s="572">
        <f t="shared" ref="W158:W162" si="187">SUM(U158:V158)</f>
        <v>0</v>
      </c>
      <c r="X158" s="572">
        <f t="shared" ref="X158" si="188">SUM(X27,X56,X82,X108,X134)</f>
        <v>0</v>
      </c>
      <c r="Y158" s="572">
        <f t="shared" ref="Y158:Y162" si="189">SUM(W158:X158)</f>
        <v>0</v>
      </c>
    </row>
    <row r="159" spans="1:25">
      <c r="A159" s="115">
        <f t="shared" si="158"/>
        <v>156</v>
      </c>
      <c r="B159" s="3"/>
      <c r="C159" s="3" t="s">
        <v>54</v>
      </c>
      <c r="D159" s="3"/>
      <c r="E159" s="9">
        <v>0</v>
      </c>
      <c r="F159" s="9">
        <v>395613</v>
      </c>
      <c r="G159" s="29">
        <v>0</v>
      </c>
      <c r="H159" s="37">
        <f>H28</f>
        <v>0</v>
      </c>
      <c r="I159" s="9">
        <f t="shared" si="156"/>
        <v>0</v>
      </c>
      <c r="J159" s="9">
        <v>0</v>
      </c>
      <c r="K159" s="29">
        <v>0</v>
      </c>
      <c r="L159" s="3">
        <v>0</v>
      </c>
      <c r="M159" s="26">
        <v>0</v>
      </c>
      <c r="N159" s="9">
        <v>0</v>
      </c>
      <c r="O159" s="124">
        <f>SUM(O28)</f>
        <v>0</v>
      </c>
      <c r="P159" s="124">
        <f>SUM(P28)</f>
        <v>0</v>
      </c>
      <c r="Q159" s="124">
        <f>SUM(Q28)</f>
        <v>0</v>
      </c>
      <c r="R159" s="124">
        <f>SUM(R28)</f>
        <v>0</v>
      </c>
      <c r="S159" s="572">
        <f>SUM(S28)</f>
        <v>0</v>
      </c>
      <c r="T159" s="572">
        <f t="shared" ref="T159:V159" si="190">SUM(T28)</f>
        <v>0</v>
      </c>
      <c r="U159" s="572">
        <f t="shared" si="174"/>
        <v>0</v>
      </c>
      <c r="V159" s="572">
        <f t="shared" si="190"/>
        <v>0</v>
      </c>
      <c r="W159" s="572">
        <f t="shared" si="187"/>
        <v>0</v>
      </c>
      <c r="X159" s="572">
        <f t="shared" ref="X159" si="191">SUM(X28)</f>
        <v>0</v>
      </c>
      <c r="Y159" s="572">
        <f t="shared" si="189"/>
        <v>0</v>
      </c>
    </row>
    <row r="160" spans="1:25">
      <c r="A160" s="115">
        <f t="shared" si="158"/>
        <v>157</v>
      </c>
      <c r="B160" s="3"/>
      <c r="C160" s="3" t="s">
        <v>52</v>
      </c>
      <c r="D160" s="3"/>
      <c r="E160" s="9">
        <v>23371</v>
      </c>
      <c r="F160" s="9">
        <v>23371</v>
      </c>
      <c r="G160" s="29">
        <f>G133+G107+G81+G55+G29</f>
        <v>25752</v>
      </c>
      <c r="H160" s="37">
        <f>H29</f>
        <v>0</v>
      </c>
      <c r="I160" s="9">
        <f t="shared" si="156"/>
        <v>25752</v>
      </c>
      <c r="J160" s="9">
        <v>0</v>
      </c>
      <c r="K160" s="29">
        <f>J160+I160</f>
        <v>25752</v>
      </c>
      <c r="L160" s="3">
        <v>0</v>
      </c>
      <c r="M160" s="29">
        <f>K160+L160</f>
        <v>25752</v>
      </c>
      <c r="N160" s="9">
        <f>N29</f>
        <v>35640</v>
      </c>
      <c r="O160" s="124">
        <f t="shared" ref="O160:T161" si="192">SUM(O29,O55,O81,O107,O133)</f>
        <v>56586</v>
      </c>
      <c r="P160" s="124">
        <f t="shared" si="192"/>
        <v>58624</v>
      </c>
      <c r="Q160" s="124">
        <f t="shared" si="192"/>
        <v>63437</v>
      </c>
      <c r="R160" s="124">
        <f t="shared" si="192"/>
        <v>73080</v>
      </c>
      <c r="S160" s="572">
        <f t="shared" si="192"/>
        <v>81776</v>
      </c>
      <c r="T160" s="572">
        <f t="shared" si="192"/>
        <v>0</v>
      </c>
      <c r="U160" s="572">
        <f t="shared" si="174"/>
        <v>81776</v>
      </c>
      <c r="V160" s="572">
        <f t="shared" ref="V160:X161" si="193">SUM(V29,V55,V81,V107,V133)</f>
        <v>0</v>
      </c>
      <c r="W160" s="572">
        <f t="shared" si="187"/>
        <v>81776</v>
      </c>
      <c r="X160" s="572">
        <f t="shared" si="193"/>
        <v>0</v>
      </c>
      <c r="Y160" s="572">
        <f t="shared" si="189"/>
        <v>81776</v>
      </c>
    </row>
    <row r="161" spans="1:25">
      <c r="A161" s="115">
        <f t="shared" si="158"/>
        <v>158</v>
      </c>
      <c r="B161" s="3"/>
      <c r="C161" s="3" t="s">
        <v>53</v>
      </c>
      <c r="D161" s="3"/>
      <c r="E161" s="9">
        <f>SUM(E134,E108,E82,E56,E30)</f>
        <v>1100272</v>
      </c>
      <c r="F161" s="9">
        <f>SUM(F134,F108,F82,F56,F30)</f>
        <v>1179906</v>
      </c>
      <c r="G161" s="29">
        <f>G134+G108+G82+G56+G30</f>
        <v>1272087</v>
      </c>
      <c r="H161" s="37">
        <f>SUM(H134,H108,H82,H56,H30)</f>
        <v>20668</v>
      </c>
      <c r="I161" s="9">
        <f t="shared" si="156"/>
        <v>1292755</v>
      </c>
      <c r="J161" s="9">
        <v>26367</v>
      </c>
      <c r="K161" s="29">
        <f>J161+I161</f>
        <v>1319122</v>
      </c>
      <c r="L161" s="9">
        <f>L30</f>
        <v>46487</v>
      </c>
      <c r="M161" s="29">
        <f>K161+L161</f>
        <v>1365609</v>
      </c>
      <c r="N161" s="9">
        <v>1291231</v>
      </c>
      <c r="O161" s="124">
        <f t="shared" si="192"/>
        <v>1325586</v>
      </c>
      <c r="P161" s="124">
        <f t="shared" si="192"/>
        <v>1525270</v>
      </c>
      <c r="Q161" s="124">
        <f t="shared" si="192"/>
        <v>1834121</v>
      </c>
      <c r="R161" s="124">
        <f t="shared" si="192"/>
        <v>2145734</v>
      </c>
      <c r="S161" s="572">
        <f t="shared" si="192"/>
        <v>2434754</v>
      </c>
      <c r="T161" s="572">
        <f t="shared" si="192"/>
        <v>-9150</v>
      </c>
      <c r="U161" s="572">
        <f t="shared" si="174"/>
        <v>2425604</v>
      </c>
      <c r="V161" s="572">
        <f t="shared" si="193"/>
        <v>49094</v>
      </c>
      <c r="W161" s="572">
        <f t="shared" si="187"/>
        <v>2474698</v>
      </c>
      <c r="X161" s="572">
        <f t="shared" si="193"/>
        <v>21337</v>
      </c>
      <c r="Y161" s="572">
        <f t="shared" si="189"/>
        <v>2496035</v>
      </c>
    </row>
    <row r="162" spans="1:25">
      <c r="A162" s="115">
        <f t="shared" si="158"/>
        <v>159</v>
      </c>
      <c r="B162" s="3"/>
      <c r="C162" s="3"/>
      <c r="D162" s="3" t="s">
        <v>51</v>
      </c>
      <c r="E162" s="9">
        <f>E161</f>
        <v>1100272</v>
      </c>
      <c r="F162" s="9">
        <f>F161</f>
        <v>1179906</v>
      </c>
      <c r="G162" s="29">
        <f>G161</f>
        <v>1272087</v>
      </c>
      <c r="H162" s="39"/>
      <c r="I162" s="9">
        <v>1292755</v>
      </c>
      <c r="J162" s="9">
        <v>26367</v>
      </c>
      <c r="K162" s="29">
        <f>J162+I162</f>
        <v>1319122</v>
      </c>
      <c r="L162" s="9">
        <f>L161</f>
        <v>46487</v>
      </c>
      <c r="M162" s="29">
        <f>K162+L162</f>
        <v>1365609</v>
      </c>
      <c r="N162" s="9">
        <v>1291231</v>
      </c>
      <c r="O162" s="110">
        <f>O161</f>
        <v>1325586</v>
      </c>
      <c r="P162" s="110">
        <f>P161</f>
        <v>1525270</v>
      </c>
      <c r="Q162" s="110">
        <f>Q161</f>
        <v>1834121</v>
      </c>
      <c r="R162" s="110">
        <f>R161</f>
        <v>2145734</v>
      </c>
      <c r="S162" s="571">
        <f>S161</f>
        <v>2434754</v>
      </c>
      <c r="T162" s="571">
        <f t="shared" ref="T162:V162" si="194">T161</f>
        <v>-9150</v>
      </c>
      <c r="U162" s="571">
        <f t="shared" si="174"/>
        <v>2425604</v>
      </c>
      <c r="V162" s="571">
        <f t="shared" si="194"/>
        <v>49094</v>
      </c>
      <c r="W162" s="571">
        <f t="shared" si="187"/>
        <v>2474698</v>
      </c>
      <c r="X162" s="571">
        <f t="shared" ref="X162" si="195">X161</f>
        <v>21337</v>
      </c>
      <c r="Y162" s="571">
        <f t="shared" si="189"/>
        <v>2496035</v>
      </c>
    </row>
    <row r="163" spans="1:25" ht="15.75" customHeight="1">
      <c r="A163" s="115">
        <f t="shared" si="158"/>
        <v>160</v>
      </c>
      <c r="B163" s="16" t="s">
        <v>19</v>
      </c>
      <c r="C163" s="16"/>
      <c r="D163" s="16"/>
      <c r="E163" s="11">
        <f>SUM(E139,E150,E157)-E162</f>
        <v>7676322</v>
      </c>
      <c r="F163" s="11" t="e">
        <f>SUM(F139,F150,F157)-F162</f>
        <v>#REF!</v>
      </c>
      <c r="G163" s="31">
        <f>SUM(G139,G150,G157)-G162</f>
        <v>7275559</v>
      </c>
      <c r="H163" s="31">
        <f>SUM(H139,H150,H157)-H162</f>
        <v>811135</v>
      </c>
      <c r="I163" s="31">
        <v>8086694</v>
      </c>
      <c r="J163" s="31">
        <f>J139+J150+J157-J162</f>
        <v>210060</v>
      </c>
      <c r="K163" s="31">
        <f>K139+K150+K157-K162+20668</f>
        <v>8296754</v>
      </c>
      <c r="L163" s="31">
        <f>L139+L150+L157-L162-17582-3086</f>
        <v>220434</v>
      </c>
      <c r="M163" s="31">
        <f>M139+M150+M157-M162</f>
        <v>8517188</v>
      </c>
      <c r="N163" s="11">
        <f>SUM(N139,N150,N157)-N162</f>
        <v>5497662</v>
      </c>
      <c r="O163" s="121">
        <f t="shared" ref="O163:W163" si="196">SUM(O157,O150,O139)-O162</f>
        <v>5318868</v>
      </c>
      <c r="P163" s="121">
        <f t="shared" si="196"/>
        <v>16526368</v>
      </c>
      <c r="Q163" s="121">
        <f t="shared" si="196"/>
        <v>12106839</v>
      </c>
      <c r="R163" s="121">
        <f t="shared" si="196"/>
        <v>9741730</v>
      </c>
      <c r="S163" s="122">
        <f t="shared" si="196"/>
        <v>7472143</v>
      </c>
      <c r="T163" s="122">
        <f t="shared" si="196"/>
        <v>556414</v>
      </c>
      <c r="U163" s="122">
        <f t="shared" si="196"/>
        <v>8028557</v>
      </c>
      <c r="V163" s="122">
        <f t="shared" si="196"/>
        <v>67816</v>
      </c>
      <c r="W163" s="122">
        <f t="shared" si="196"/>
        <v>8096373</v>
      </c>
      <c r="X163" s="122">
        <f>SUM(X157,X150,X139)-X162</f>
        <v>403535</v>
      </c>
      <c r="Y163" s="122">
        <f t="shared" ref="Y163" si="197">SUM(Y157,Y150,Y139)-Y162</f>
        <v>8499908</v>
      </c>
    </row>
    <row r="164" spans="1:25">
      <c r="A164" s="812" t="s">
        <v>640</v>
      </c>
      <c r="B164" s="812"/>
      <c r="C164" s="812"/>
      <c r="D164" s="812"/>
      <c r="E164" s="812"/>
      <c r="F164" s="812"/>
      <c r="G164" s="812"/>
      <c r="H164" s="812"/>
      <c r="I164" s="812"/>
      <c r="J164" s="812"/>
      <c r="K164" s="812"/>
      <c r="L164" s="812"/>
      <c r="M164" s="812"/>
      <c r="N164" s="812"/>
      <c r="O164" s="812"/>
      <c r="P164" s="812"/>
      <c r="Q164" s="812"/>
      <c r="R164" s="812"/>
      <c r="S164" s="812"/>
      <c r="T164" s="812"/>
      <c r="U164" s="812"/>
      <c r="V164" s="812"/>
      <c r="W164" s="812"/>
      <c r="X164" s="812"/>
      <c r="Y164" s="812"/>
    </row>
    <row r="165" spans="1:25">
      <c r="A165" s="812"/>
      <c r="B165" s="812"/>
      <c r="C165" s="812"/>
      <c r="D165" s="812"/>
      <c r="E165" s="812"/>
      <c r="F165" s="812"/>
      <c r="G165" s="812"/>
      <c r="H165" s="812"/>
      <c r="I165" s="812"/>
      <c r="J165" s="812"/>
      <c r="K165" s="812"/>
      <c r="L165" s="812"/>
      <c r="M165" s="812"/>
      <c r="N165" s="812"/>
      <c r="O165" s="812"/>
      <c r="P165" s="812"/>
      <c r="Q165" s="812"/>
      <c r="R165" s="812"/>
      <c r="S165" s="812"/>
      <c r="T165" s="812"/>
      <c r="U165" s="812"/>
      <c r="V165" s="812"/>
      <c r="W165" s="812"/>
      <c r="X165" s="812"/>
      <c r="Y165" s="812"/>
    </row>
  </sheetData>
  <mergeCells count="3">
    <mergeCell ref="A1:Y1"/>
    <mergeCell ref="B4:D4"/>
    <mergeCell ref="A164:Y165"/>
  </mergeCells>
  <pageMargins left="0.7" right="0.7" top="0.75" bottom="0.75" header="0.3" footer="0.3"/>
  <pageSetup paperSize="9" scale="46" orientation="portrait" r:id="rId1"/>
  <rowBreaks count="1" manualBreakCount="1">
    <brk id="83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EEAF-F72A-4DDC-A7C7-29F680AD2F13}">
  <dimension ref="A1:AC64"/>
  <sheetViews>
    <sheetView view="pageBreakPreview" topLeftCell="A23" zoomScale="60" zoomScaleNormal="100" workbookViewId="0">
      <selection activeCell="A61" sqref="A61:Z62"/>
    </sheetView>
  </sheetViews>
  <sheetFormatPr defaultColWidth="9.140625" defaultRowHeight="15"/>
  <cols>
    <col min="1" max="1" width="9.140625" style="557"/>
    <col min="3" max="3" width="11.140625" hidden="1" customWidth="1"/>
    <col min="4" max="4" width="0" hidden="1" customWidth="1"/>
    <col min="5" max="5" width="37.85546875" customWidth="1"/>
    <col min="6" max="6" width="52" customWidth="1"/>
    <col min="7" max="7" width="15.42578125" hidden="1" customWidth="1"/>
    <col min="8" max="8" width="14.140625" hidden="1" customWidth="1"/>
    <col min="9" max="9" width="13.42578125" hidden="1" customWidth="1"/>
    <col min="10" max="10" width="14.42578125" hidden="1" customWidth="1"/>
    <col min="11" max="11" width="13.140625" hidden="1" customWidth="1"/>
    <col min="12" max="12" width="14" hidden="1" customWidth="1"/>
    <col min="13" max="13" width="0.140625" customWidth="1"/>
    <col min="14" max="14" width="14.42578125" hidden="1" customWidth="1"/>
    <col min="15" max="15" width="16" hidden="1" customWidth="1"/>
    <col min="16" max="18" width="16.140625" hidden="1" customWidth="1"/>
    <col min="19" max="20" width="16.140625" customWidth="1"/>
    <col min="21" max="21" width="16.140625" hidden="1" customWidth="1"/>
    <col min="22" max="22" width="16.140625" customWidth="1"/>
    <col min="23" max="23" width="16.140625" style="622" hidden="1" customWidth="1"/>
    <col min="24" max="26" width="16.140625" style="622" customWidth="1"/>
    <col min="28" max="28" width="16.140625" bestFit="1" customWidth="1"/>
    <col min="29" max="29" width="13.42578125" bestFit="1" customWidth="1"/>
  </cols>
  <sheetData>
    <row r="1" spans="1:27" s="633" customFormat="1" ht="20.25" customHeight="1">
      <c r="A1" s="687" t="s">
        <v>641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</row>
    <row r="2" spans="1:27" s="622" customFormat="1" ht="18.75">
      <c r="A2" s="914" t="s">
        <v>545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914"/>
      <c r="X2" s="914"/>
      <c r="Y2" s="914"/>
      <c r="Z2" s="914"/>
    </row>
    <row r="3" spans="1:27" s="622" customFormat="1" ht="18.75">
      <c r="B3" s="915"/>
      <c r="S3" s="560"/>
      <c r="T3" s="560"/>
      <c r="U3" s="560"/>
      <c r="V3" s="560" t="s">
        <v>71</v>
      </c>
      <c r="W3" s="560"/>
      <c r="X3" s="560"/>
      <c r="Y3" s="560"/>
      <c r="Z3" s="560" t="s">
        <v>502</v>
      </c>
    </row>
    <row r="4" spans="1:27" s="908" customFormat="1">
      <c r="A4" s="916"/>
      <c r="B4" s="561" t="s">
        <v>414</v>
      </c>
      <c r="C4" s="561"/>
      <c r="D4" s="561"/>
      <c r="E4" s="561" t="s">
        <v>415</v>
      </c>
      <c r="F4" s="561" t="s">
        <v>416</v>
      </c>
      <c r="G4" s="561"/>
      <c r="H4" s="561"/>
      <c r="I4" s="561"/>
      <c r="J4" s="561"/>
      <c r="K4" s="561"/>
      <c r="L4" s="561"/>
      <c r="M4" s="561"/>
      <c r="N4" s="561"/>
      <c r="O4" s="561" t="s">
        <v>417</v>
      </c>
      <c r="P4" s="629" t="s">
        <v>417</v>
      </c>
      <c r="Q4" s="629" t="s">
        <v>417</v>
      </c>
      <c r="R4" s="629" t="s">
        <v>417</v>
      </c>
      <c r="S4" s="629" t="s">
        <v>417</v>
      </c>
      <c r="T4" s="629" t="s">
        <v>418</v>
      </c>
      <c r="U4" s="629" t="s">
        <v>419</v>
      </c>
      <c r="V4" s="629" t="s">
        <v>610</v>
      </c>
      <c r="W4" s="629" t="s">
        <v>424</v>
      </c>
      <c r="X4" s="629" t="s">
        <v>424</v>
      </c>
      <c r="Y4" s="629" t="s">
        <v>425</v>
      </c>
      <c r="Z4" s="629" t="s">
        <v>426</v>
      </c>
      <c r="AA4" s="917"/>
    </row>
    <row r="5" spans="1:27" ht="90">
      <c r="A5" s="634">
        <v>1</v>
      </c>
      <c r="B5" s="127" t="s">
        <v>174</v>
      </c>
      <c r="C5" s="128"/>
      <c r="D5" s="128"/>
      <c r="E5" s="688" t="s">
        <v>55</v>
      </c>
      <c r="F5" s="689"/>
      <c r="G5" s="129" t="s">
        <v>175</v>
      </c>
      <c r="H5" s="129" t="s">
        <v>109</v>
      </c>
      <c r="I5" s="130" t="s">
        <v>111</v>
      </c>
      <c r="J5" s="131" t="s">
        <v>115</v>
      </c>
      <c r="K5" s="129" t="s">
        <v>111</v>
      </c>
      <c r="L5" s="129" t="s">
        <v>259</v>
      </c>
      <c r="M5" s="130" t="s">
        <v>111</v>
      </c>
      <c r="N5" s="132" t="s">
        <v>260</v>
      </c>
      <c r="O5" s="132" t="s">
        <v>457</v>
      </c>
      <c r="P5" s="158" t="s">
        <v>460</v>
      </c>
      <c r="Q5" s="132" t="s">
        <v>484</v>
      </c>
      <c r="R5" s="158" t="s">
        <v>501</v>
      </c>
      <c r="S5" s="132" t="s">
        <v>544</v>
      </c>
      <c r="T5" s="132" t="s">
        <v>581</v>
      </c>
      <c r="U5" s="132" t="s">
        <v>111</v>
      </c>
      <c r="V5" s="132" t="s">
        <v>609</v>
      </c>
      <c r="W5" s="635" t="s">
        <v>111</v>
      </c>
      <c r="X5" s="635" t="s">
        <v>637</v>
      </c>
      <c r="Y5" s="635" t="s">
        <v>111</v>
      </c>
      <c r="Z5" s="635" t="s">
        <v>582</v>
      </c>
    </row>
    <row r="6" spans="1:27" ht="27.75" customHeight="1">
      <c r="A6" s="623">
        <v>2</v>
      </c>
      <c r="B6" s="159" t="s">
        <v>176</v>
      </c>
      <c r="C6" s="44">
        <v>9421111</v>
      </c>
      <c r="D6" s="45" t="s">
        <v>177</v>
      </c>
      <c r="E6" s="690" t="s">
        <v>178</v>
      </c>
      <c r="F6" s="690"/>
      <c r="G6" s="46">
        <f>SUM(G7:G10)</f>
        <v>116694947</v>
      </c>
      <c r="H6" s="47" t="e">
        <f>H7+H9+H10+#REF!</f>
        <v>#REF!</v>
      </c>
      <c r="I6" s="48" t="e">
        <f>I7+I9+I10+#REF!</f>
        <v>#REF!</v>
      </c>
      <c r="J6" s="11" t="e">
        <f>J7+J9+J10+#REF!</f>
        <v>#REF!</v>
      </c>
      <c r="K6" s="11" t="e">
        <f>K7+K9+K10+#REF!</f>
        <v>#REF!</v>
      </c>
      <c r="L6" s="11" t="e">
        <f>L7+L9+L10+#REF!</f>
        <v>#REF!</v>
      </c>
      <c r="M6" s="11" t="e">
        <f>M7+M9+M10+#REF!</f>
        <v>#REF!</v>
      </c>
      <c r="N6" s="11" t="e">
        <f>N7+N9+N10+#REF!</f>
        <v>#REF!</v>
      </c>
      <c r="O6" s="11" t="e">
        <f>O7+O9+O10+#REF!</f>
        <v>#REF!</v>
      </c>
      <c r="P6" s="111">
        <f>SUM(P7:P10)</f>
        <v>717953685</v>
      </c>
      <c r="Q6" s="111">
        <f>SUM(Q7:Q10)</f>
        <v>498865340</v>
      </c>
      <c r="R6" s="111">
        <f>SUM(R7:R10)</f>
        <v>546564571</v>
      </c>
      <c r="S6" s="111">
        <f>SUM(S7:S10)</f>
        <v>545430761</v>
      </c>
      <c r="T6" s="180">
        <f>SUM(T7:T10)</f>
        <v>643123661</v>
      </c>
      <c r="U6" s="180">
        <f t="shared" ref="U6:W6" si="0">SUM(U7:U10)</f>
        <v>0</v>
      </c>
      <c r="V6" s="180">
        <f>SUM(V7:V10)</f>
        <v>643123661</v>
      </c>
      <c r="W6" s="122">
        <f t="shared" si="0"/>
        <v>38400716</v>
      </c>
      <c r="X6" s="122">
        <f>SUM(X7:X10)</f>
        <v>681524377</v>
      </c>
      <c r="Y6" s="122">
        <f t="shared" ref="Y6" si="1">SUM(Y7:Y10)</f>
        <v>958134</v>
      </c>
      <c r="Z6" s="122">
        <f>SUM(Z7:Z10)</f>
        <v>682482511</v>
      </c>
    </row>
    <row r="7" spans="1:27" ht="15" customHeight="1">
      <c r="A7" s="623">
        <v>3</v>
      </c>
      <c r="B7" s="159"/>
      <c r="C7" s="49"/>
      <c r="D7" s="50" t="s">
        <v>179</v>
      </c>
      <c r="E7" s="691" t="s">
        <v>180</v>
      </c>
      <c r="F7" s="691"/>
      <c r="G7" s="9">
        <v>116674947</v>
      </c>
      <c r="H7" s="10">
        <v>131986240</v>
      </c>
      <c r="I7" s="9">
        <v>0</v>
      </c>
      <c r="J7" s="9">
        <f>H7</f>
        <v>131986240</v>
      </c>
      <c r="K7" s="61">
        <v>0</v>
      </c>
      <c r="L7" s="9">
        <f>J7</f>
        <v>131986240</v>
      </c>
      <c r="M7" s="3">
        <v>0</v>
      </c>
      <c r="N7" s="9">
        <f>L7+M7</f>
        <v>131986240</v>
      </c>
      <c r="O7" s="9">
        <v>125982530</v>
      </c>
      <c r="P7" s="9">
        <v>251685750</v>
      </c>
      <c r="Q7" s="9">
        <v>253649970</v>
      </c>
      <c r="R7" s="9">
        <v>251933500</v>
      </c>
      <c r="S7" s="9">
        <v>300762890</v>
      </c>
      <c r="T7" s="14">
        <v>398727940</v>
      </c>
      <c r="U7" s="14">
        <v>0</v>
      </c>
      <c r="V7" s="14">
        <f>SUM(T7:U7)</f>
        <v>398727940</v>
      </c>
      <c r="W7" s="565">
        <v>30430774</v>
      </c>
      <c r="X7" s="565">
        <f>SUM(V7:W7)</f>
        <v>429158714</v>
      </c>
      <c r="Y7" s="565">
        <v>958134</v>
      </c>
      <c r="Z7" s="565">
        <f>SUM(X7:Y7)</f>
        <v>430116848</v>
      </c>
    </row>
    <row r="8" spans="1:27" ht="15.75">
      <c r="A8" s="623">
        <v>4</v>
      </c>
      <c r="B8" s="160"/>
      <c r="C8" s="71"/>
      <c r="D8" s="10" t="s">
        <v>251</v>
      </c>
      <c r="E8" s="692" t="s">
        <v>558</v>
      </c>
      <c r="F8" s="686"/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f t="shared" ref="N8" si="2">L8+M8</f>
        <v>0</v>
      </c>
      <c r="O8" s="9">
        <v>0</v>
      </c>
      <c r="P8" s="9">
        <v>230000000</v>
      </c>
      <c r="Q8" s="9">
        <v>0</v>
      </c>
      <c r="R8" s="9">
        <v>50000000</v>
      </c>
      <c r="S8" s="9">
        <v>0</v>
      </c>
      <c r="T8" s="14">
        <v>0</v>
      </c>
      <c r="U8" s="14">
        <v>0</v>
      </c>
      <c r="V8" s="14">
        <f>SUM(T8:U8)</f>
        <v>0</v>
      </c>
      <c r="W8" s="565">
        <f>3336773+4633169</f>
        <v>7969942</v>
      </c>
      <c r="X8" s="565">
        <f>SUM(V8:W8)</f>
        <v>7969942</v>
      </c>
      <c r="Y8" s="565">
        <v>0</v>
      </c>
      <c r="Z8" s="565">
        <f>SUM(X8:Y8)</f>
        <v>7969942</v>
      </c>
    </row>
    <row r="9" spans="1:27" ht="15.75">
      <c r="A9" s="623">
        <v>5</v>
      </c>
      <c r="B9" s="160"/>
      <c r="C9" s="13">
        <v>9421112</v>
      </c>
      <c r="D9" s="10" t="s">
        <v>181</v>
      </c>
      <c r="E9" s="693" t="s">
        <v>431</v>
      </c>
      <c r="F9" s="694"/>
      <c r="G9" s="9">
        <v>20000</v>
      </c>
      <c r="H9" s="9">
        <v>20000</v>
      </c>
      <c r="I9" s="9">
        <v>0</v>
      </c>
      <c r="J9" s="9">
        <f>H9</f>
        <v>20000</v>
      </c>
      <c r="K9" s="9">
        <v>0</v>
      </c>
      <c r="L9" s="9">
        <f>J9</f>
        <v>20000</v>
      </c>
      <c r="M9" s="3">
        <v>0</v>
      </c>
      <c r="N9" s="9">
        <f>L9+M9</f>
        <v>20000</v>
      </c>
      <c r="O9" s="9">
        <v>0</v>
      </c>
      <c r="P9" s="9">
        <v>236249935</v>
      </c>
      <c r="Q9" s="9">
        <v>245205370</v>
      </c>
      <c r="R9" s="9">
        <v>244621071</v>
      </c>
      <c r="S9" s="9">
        <v>244657871</v>
      </c>
      <c r="T9" s="14">
        <v>244395721</v>
      </c>
      <c r="U9" s="14">
        <v>0</v>
      </c>
      <c r="V9" s="14">
        <f t="shared" ref="V9:V10" si="3">SUM(T9:U9)</f>
        <v>244395721</v>
      </c>
      <c r="W9" s="565">
        <v>0</v>
      </c>
      <c r="X9" s="565">
        <f t="shared" ref="X9:X10" si="4">SUM(V9:W9)</f>
        <v>244395721</v>
      </c>
      <c r="Y9" s="565">
        <v>0</v>
      </c>
      <c r="Z9" s="565">
        <f t="shared" ref="Z9:Z10" si="5">SUM(X9:Y9)</f>
        <v>244395721</v>
      </c>
    </row>
    <row r="10" spans="1:27" ht="15" customHeight="1">
      <c r="A10" s="623">
        <v>6</v>
      </c>
      <c r="B10" s="160"/>
      <c r="C10" s="13"/>
      <c r="D10" s="10"/>
      <c r="E10" s="695" t="s">
        <v>182</v>
      </c>
      <c r="F10" s="696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3">
        <v>0</v>
      </c>
      <c r="N10" s="3">
        <v>0</v>
      </c>
      <c r="O10" s="9">
        <v>18000</v>
      </c>
      <c r="P10" s="9">
        <v>18000</v>
      </c>
      <c r="Q10" s="9">
        <v>10000</v>
      </c>
      <c r="R10" s="9">
        <v>10000</v>
      </c>
      <c r="S10" s="9">
        <v>10000</v>
      </c>
      <c r="T10" s="14">
        <v>0</v>
      </c>
      <c r="U10" s="14">
        <v>0</v>
      </c>
      <c r="V10" s="14">
        <f t="shared" si="3"/>
        <v>0</v>
      </c>
      <c r="W10" s="565">
        <v>0</v>
      </c>
      <c r="X10" s="565">
        <f t="shared" si="4"/>
        <v>0</v>
      </c>
      <c r="Y10" s="565">
        <v>0</v>
      </c>
      <c r="Z10" s="565">
        <f t="shared" si="5"/>
        <v>0</v>
      </c>
    </row>
    <row r="11" spans="1:27" ht="14.45" customHeight="1">
      <c r="A11" s="623">
        <v>7</v>
      </c>
      <c r="B11" s="160" t="s">
        <v>183</v>
      </c>
      <c r="C11" s="49">
        <v>9421121</v>
      </c>
      <c r="D11" s="8" t="s">
        <v>184</v>
      </c>
      <c r="E11" s="697" t="s">
        <v>185</v>
      </c>
      <c r="F11" s="698"/>
      <c r="G11" s="52">
        <f>G12+G16</f>
        <v>242222884</v>
      </c>
      <c r="H11" s="52">
        <f t="shared" ref="H11" si="6">H12+H16</f>
        <v>240949450</v>
      </c>
      <c r="I11" s="11">
        <v>0</v>
      </c>
      <c r="J11" s="11">
        <f>H11</f>
        <v>240949450</v>
      </c>
      <c r="K11" s="11">
        <v>0</v>
      </c>
      <c r="L11" s="11">
        <f>L12+L16</f>
        <v>240949450</v>
      </c>
      <c r="M11" s="11">
        <f>M12+M16</f>
        <v>0</v>
      </c>
      <c r="N11" s="11">
        <f>N12+N16</f>
        <v>240949450</v>
      </c>
      <c r="O11" s="11">
        <f>O12+O16+O19+O20+O21</f>
        <v>259327000</v>
      </c>
      <c r="P11" s="8">
        <f>P12+P16+P19+P20</f>
        <v>288900150</v>
      </c>
      <c r="Q11" s="8">
        <f>Q12+Q16+Q19+Q20+Q21</f>
        <v>334722816</v>
      </c>
      <c r="R11" s="8">
        <f>R12+R16+R19+R20+R21</f>
        <v>335227130</v>
      </c>
      <c r="S11" s="8">
        <f>S12+S16+S19+S20+S21</f>
        <v>509395400</v>
      </c>
      <c r="T11" s="52">
        <f>T12+T16+T19+T20+T21</f>
        <v>655706300</v>
      </c>
      <c r="U11" s="52">
        <f t="shared" ref="U11:Z11" si="7">U12+U16+U19+U20+U21</f>
        <v>-28655500</v>
      </c>
      <c r="V11" s="52">
        <f t="shared" si="7"/>
        <v>627050800</v>
      </c>
      <c r="W11" s="636">
        <f t="shared" si="7"/>
        <v>4050000</v>
      </c>
      <c r="X11" s="636">
        <f t="shared" si="7"/>
        <v>631100800</v>
      </c>
      <c r="Y11" s="636">
        <f t="shared" si="7"/>
        <v>6142200</v>
      </c>
      <c r="Z11" s="636">
        <f t="shared" si="7"/>
        <v>637243000</v>
      </c>
    </row>
    <row r="12" spans="1:27" ht="15.75">
      <c r="A12" s="623">
        <v>8</v>
      </c>
      <c r="B12" s="160"/>
      <c r="C12" s="3"/>
      <c r="D12" s="9" t="s">
        <v>186</v>
      </c>
      <c r="E12" s="686" t="s">
        <v>187</v>
      </c>
      <c r="F12" s="686"/>
      <c r="G12" s="11">
        <f>G13+G14+G15</f>
        <v>179853300</v>
      </c>
      <c r="H12" s="11">
        <f>SUM(H13:H15)</f>
        <v>169177050</v>
      </c>
      <c r="I12" s="9">
        <v>0</v>
      </c>
      <c r="J12" s="11">
        <f>H12</f>
        <v>169177050</v>
      </c>
      <c r="K12" s="11">
        <v>0</v>
      </c>
      <c r="L12" s="11">
        <f>J12</f>
        <v>169177050</v>
      </c>
      <c r="M12" s="11">
        <f t="shared" ref="M12:N12" si="8">K12</f>
        <v>0</v>
      </c>
      <c r="N12" s="11">
        <f t="shared" si="8"/>
        <v>169177050</v>
      </c>
      <c r="O12" s="9">
        <v>177482900</v>
      </c>
      <c r="P12" s="10">
        <v>197863050</v>
      </c>
      <c r="Q12" s="10">
        <v>214200030</v>
      </c>
      <c r="R12" s="10">
        <v>213147450</v>
      </c>
      <c r="S12" s="10">
        <v>349112400</v>
      </c>
      <c r="T12" s="56">
        <v>471835500</v>
      </c>
      <c r="U12" s="56">
        <v>-25367500</v>
      </c>
      <c r="V12" s="14">
        <f>SUM(T12:U12)</f>
        <v>446468000</v>
      </c>
      <c r="W12" s="637">
        <v>4050000</v>
      </c>
      <c r="X12" s="565">
        <f>SUM(V12:W12)</f>
        <v>450518000</v>
      </c>
      <c r="Y12" s="637">
        <v>6142200</v>
      </c>
      <c r="Z12" s="565">
        <f>SUM(X12:Y12)</f>
        <v>456660200</v>
      </c>
    </row>
    <row r="13" spans="1:27" ht="15.75">
      <c r="A13" s="623">
        <v>9</v>
      </c>
      <c r="B13" s="160"/>
      <c r="C13" s="3"/>
      <c r="D13" s="9"/>
      <c r="E13" s="53"/>
      <c r="F13" s="53" t="s">
        <v>188</v>
      </c>
      <c r="G13" s="9">
        <v>119902200</v>
      </c>
      <c r="H13" s="10">
        <v>112784700</v>
      </c>
      <c r="I13" s="9">
        <v>0</v>
      </c>
      <c r="J13" s="9">
        <f>H13</f>
        <v>112784700</v>
      </c>
      <c r="K13" s="9">
        <v>0</v>
      </c>
      <c r="L13" s="9">
        <f>J13</f>
        <v>112784700</v>
      </c>
      <c r="M13" s="3">
        <v>0</v>
      </c>
      <c r="N13" s="9">
        <f>L13+M13</f>
        <v>112784700</v>
      </c>
      <c r="O13" s="9"/>
      <c r="P13" s="9"/>
      <c r="Q13" s="9"/>
      <c r="R13" s="9"/>
      <c r="S13" s="9"/>
      <c r="T13" s="14"/>
      <c r="U13" s="14"/>
      <c r="V13" s="14"/>
      <c r="W13" s="565"/>
      <c r="X13" s="565"/>
      <c r="Y13" s="565"/>
      <c r="Z13" s="565"/>
    </row>
    <row r="14" spans="1:27" ht="15.75">
      <c r="A14" s="623">
        <v>10</v>
      </c>
      <c r="B14" s="160"/>
      <c r="C14" s="3"/>
      <c r="D14" s="9"/>
      <c r="E14" s="53"/>
      <c r="F14" s="53" t="s">
        <v>189</v>
      </c>
      <c r="G14" s="9">
        <v>59951100</v>
      </c>
      <c r="H14" s="10">
        <v>56392350</v>
      </c>
      <c r="I14" s="9">
        <v>0</v>
      </c>
      <c r="J14" s="9">
        <f>H14</f>
        <v>56392350</v>
      </c>
      <c r="K14" s="9">
        <v>0</v>
      </c>
      <c r="L14" s="9">
        <f>J14</f>
        <v>56392350</v>
      </c>
      <c r="M14" s="3">
        <v>0</v>
      </c>
      <c r="N14" s="9">
        <f>L14+M14</f>
        <v>56392350</v>
      </c>
      <c r="O14" s="9"/>
      <c r="P14" s="9"/>
      <c r="Q14" s="9"/>
      <c r="R14" s="9"/>
      <c r="S14" s="9"/>
      <c r="T14" s="14"/>
      <c r="U14" s="14"/>
      <c r="V14" s="14"/>
      <c r="W14" s="565"/>
      <c r="X14" s="565"/>
      <c r="Y14" s="565"/>
      <c r="Z14" s="565"/>
    </row>
    <row r="15" spans="1:27" ht="15.75">
      <c r="A15" s="623">
        <v>11</v>
      </c>
      <c r="B15" s="160"/>
      <c r="C15" s="3"/>
      <c r="D15" s="9"/>
      <c r="E15" s="53"/>
      <c r="F15" s="53" t="s">
        <v>190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f>J15</f>
        <v>0</v>
      </c>
      <c r="M15" s="3">
        <v>0</v>
      </c>
      <c r="N15" s="3">
        <f>M15</f>
        <v>0</v>
      </c>
      <c r="O15" s="9"/>
      <c r="P15" s="9"/>
      <c r="Q15" s="9"/>
      <c r="R15" s="9"/>
      <c r="S15" s="9"/>
      <c r="T15" s="14"/>
      <c r="U15" s="14"/>
      <c r="V15" s="14"/>
      <c r="W15" s="565"/>
      <c r="X15" s="565"/>
      <c r="Y15" s="565"/>
      <c r="Z15" s="565"/>
    </row>
    <row r="16" spans="1:27" ht="15.75">
      <c r="A16" s="623">
        <v>12</v>
      </c>
      <c r="B16" s="160"/>
      <c r="C16" s="3"/>
      <c r="D16" s="9" t="s">
        <v>191</v>
      </c>
      <c r="E16" s="686" t="s">
        <v>192</v>
      </c>
      <c r="F16" s="686"/>
      <c r="G16" s="11">
        <f>G17+G18+G20+G21</f>
        <v>62369584</v>
      </c>
      <c r="H16" s="11">
        <f>SUM(H17:H21)</f>
        <v>71772400</v>
      </c>
      <c r="I16" s="11">
        <f t="shared" ref="I16:M16" si="9">SUM(I17:I21)</f>
        <v>0</v>
      </c>
      <c r="J16" s="11">
        <f t="shared" si="9"/>
        <v>71772400</v>
      </c>
      <c r="K16" s="11">
        <f t="shared" si="9"/>
        <v>0</v>
      </c>
      <c r="L16" s="11">
        <f t="shared" si="9"/>
        <v>71772400</v>
      </c>
      <c r="M16" s="11">
        <f t="shared" si="9"/>
        <v>0</v>
      </c>
      <c r="N16" s="11">
        <f>SUM(N17:N21)</f>
        <v>71772400</v>
      </c>
      <c r="O16" s="9">
        <v>64800000</v>
      </c>
      <c r="P16" s="9">
        <v>75894000</v>
      </c>
      <c r="Q16" s="9">
        <v>100828000</v>
      </c>
      <c r="R16" s="9">
        <v>100828000</v>
      </c>
      <c r="S16" s="9">
        <v>131700000</v>
      </c>
      <c r="T16" s="14">
        <v>147504000</v>
      </c>
      <c r="U16" s="14">
        <v>0</v>
      </c>
      <c r="V16" s="14">
        <f>SUM(T16:U16)</f>
        <v>147504000</v>
      </c>
      <c r="W16" s="565">
        <v>0</v>
      </c>
      <c r="X16" s="565">
        <f>SUM(V16:W16)</f>
        <v>147504000</v>
      </c>
      <c r="Y16" s="565">
        <v>0</v>
      </c>
      <c r="Z16" s="565">
        <f>SUM(X16:Y16)</f>
        <v>147504000</v>
      </c>
    </row>
    <row r="17" spans="1:29" ht="15.75">
      <c r="A17" s="623">
        <v>13</v>
      </c>
      <c r="B17" s="160"/>
      <c r="C17" s="3"/>
      <c r="D17" s="9"/>
      <c r="E17" s="53"/>
      <c r="F17" s="53" t="s">
        <v>188</v>
      </c>
      <c r="G17" s="9">
        <v>35280000</v>
      </c>
      <c r="H17" s="9">
        <v>39664333</v>
      </c>
      <c r="I17" s="9">
        <v>0</v>
      </c>
      <c r="J17" s="9">
        <f t="shared" ref="J17:J24" si="10">H17</f>
        <v>39664333</v>
      </c>
      <c r="K17" s="9">
        <v>0</v>
      </c>
      <c r="L17" s="9">
        <f>J17</f>
        <v>39664333</v>
      </c>
      <c r="M17" s="3">
        <v>0</v>
      </c>
      <c r="N17" s="9">
        <f t="shared" ref="N17:N24" si="11">L17+M17</f>
        <v>39664333</v>
      </c>
      <c r="O17" s="9"/>
      <c r="P17" s="9"/>
      <c r="Q17" s="9"/>
      <c r="R17" s="9"/>
      <c r="S17" s="9"/>
      <c r="T17" s="14"/>
      <c r="U17" s="14"/>
      <c r="V17" s="14"/>
      <c r="W17" s="565"/>
      <c r="X17" s="565"/>
      <c r="Y17" s="565"/>
      <c r="Z17" s="565"/>
    </row>
    <row r="18" spans="1:29" ht="15.75">
      <c r="A18" s="623">
        <v>14</v>
      </c>
      <c r="B18" s="160"/>
      <c r="C18" s="3"/>
      <c r="D18" s="9"/>
      <c r="E18" s="53"/>
      <c r="F18" s="53" t="s">
        <v>189</v>
      </c>
      <c r="G18" s="9">
        <v>17640000</v>
      </c>
      <c r="H18" s="9">
        <v>19832167</v>
      </c>
      <c r="I18" s="9">
        <v>0</v>
      </c>
      <c r="J18" s="9">
        <f t="shared" si="10"/>
        <v>19832167</v>
      </c>
      <c r="K18" s="9">
        <v>0</v>
      </c>
      <c r="L18" s="9">
        <f>J18</f>
        <v>19832167</v>
      </c>
      <c r="M18" s="3">
        <v>0</v>
      </c>
      <c r="N18" s="9">
        <f t="shared" si="11"/>
        <v>19832167</v>
      </c>
      <c r="O18" s="9"/>
      <c r="P18" s="9"/>
      <c r="Q18" s="9"/>
      <c r="R18" s="9"/>
      <c r="S18" s="9"/>
      <c r="T18" s="14"/>
      <c r="U18" s="14"/>
      <c r="V18" s="14"/>
      <c r="W18" s="565"/>
      <c r="X18" s="565"/>
      <c r="Y18" s="565"/>
      <c r="Z18" s="565"/>
    </row>
    <row r="19" spans="1:29" ht="15.75">
      <c r="A19" s="623">
        <v>15</v>
      </c>
      <c r="B19" s="160"/>
      <c r="C19" s="3"/>
      <c r="D19" s="9"/>
      <c r="E19" s="53"/>
      <c r="F19" s="53" t="s">
        <v>396</v>
      </c>
      <c r="G19" s="9"/>
      <c r="H19" s="9"/>
      <c r="I19" s="9"/>
      <c r="J19" s="9"/>
      <c r="K19" s="9"/>
      <c r="L19" s="9"/>
      <c r="M19" s="3"/>
      <c r="N19" s="9"/>
      <c r="O19" s="9">
        <v>4371500</v>
      </c>
      <c r="P19" s="9">
        <v>4861500</v>
      </c>
      <c r="Q19" s="9">
        <v>5262900</v>
      </c>
      <c r="R19" s="9">
        <v>5262900</v>
      </c>
      <c r="S19" s="9">
        <v>8372000</v>
      </c>
      <c r="T19" s="14">
        <v>10147000</v>
      </c>
      <c r="U19" s="14">
        <v>0</v>
      </c>
      <c r="V19" s="14">
        <f t="shared" ref="V19:V21" si="12">SUM(T19:U19)</f>
        <v>10147000</v>
      </c>
      <c r="W19" s="565">
        <v>0</v>
      </c>
      <c r="X19" s="565">
        <f t="shared" ref="X19:X21" si="13">SUM(V19:W19)</f>
        <v>10147000</v>
      </c>
      <c r="Y19" s="565">
        <v>0</v>
      </c>
      <c r="Z19" s="565">
        <f t="shared" ref="Z19:Z21" si="14">SUM(X19:Y19)</f>
        <v>10147000</v>
      </c>
    </row>
    <row r="20" spans="1:29" ht="15.75">
      <c r="A20" s="623">
        <v>16</v>
      </c>
      <c r="B20" s="160" t="s">
        <v>183</v>
      </c>
      <c r="C20" s="54">
        <v>9421121</v>
      </c>
      <c r="D20" s="52" t="s">
        <v>193</v>
      </c>
      <c r="E20" s="55"/>
      <c r="F20" s="140" t="s">
        <v>194</v>
      </c>
      <c r="G20" s="56">
        <v>7986584</v>
      </c>
      <c r="H20" s="56">
        <v>7934000</v>
      </c>
      <c r="I20" s="9">
        <v>0</v>
      </c>
      <c r="J20" s="9">
        <f t="shared" si="10"/>
        <v>7934000</v>
      </c>
      <c r="K20" s="9">
        <v>0</v>
      </c>
      <c r="L20" s="9">
        <f>J20</f>
        <v>7934000</v>
      </c>
      <c r="M20" s="3">
        <v>0</v>
      </c>
      <c r="N20" s="9">
        <f t="shared" si="11"/>
        <v>7934000</v>
      </c>
      <c r="O20" s="10">
        <v>8330700</v>
      </c>
      <c r="P20" s="9">
        <v>10281600</v>
      </c>
      <c r="Q20" s="9">
        <v>10943946</v>
      </c>
      <c r="R20" s="9">
        <v>10756870</v>
      </c>
      <c r="S20" s="9">
        <v>12189000</v>
      </c>
      <c r="T20" s="14">
        <v>13904000</v>
      </c>
      <c r="U20" s="14">
        <v>-695200</v>
      </c>
      <c r="V20" s="14">
        <f t="shared" si="12"/>
        <v>13208800</v>
      </c>
      <c r="W20" s="565">
        <v>0</v>
      </c>
      <c r="X20" s="565">
        <f t="shared" si="13"/>
        <v>13208800</v>
      </c>
      <c r="Y20" s="565">
        <v>0</v>
      </c>
      <c r="Z20" s="565">
        <f t="shared" si="14"/>
        <v>13208800</v>
      </c>
    </row>
    <row r="21" spans="1:29" ht="15.75">
      <c r="A21" s="623">
        <v>17</v>
      </c>
      <c r="B21" s="160"/>
      <c r="C21" s="54"/>
      <c r="D21" s="54"/>
      <c r="E21" s="55"/>
      <c r="F21" s="140" t="s">
        <v>195</v>
      </c>
      <c r="G21" s="56">
        <v>1463000</v>
      </c>
      <c r="H21" s="56">
        <v>4341900</v>
      </c>
      <c r="I21" s="9">
        <v>0</v>
      </c>
      <c r="J21" s="9">
        <f t="shared" si="10"/>
        <v>4341900</v>
      </c>
      <c r="K21" s="9">
        <v>0</v>
      </c>
      <c r="L21" s="9">
        <f>J21</f>
        <v>4341900</v>
      </c>
      <c r="M21" s="3">
        <v>0</v>
      </c>
      <c r="N21" s="9">
        <f t="shared" si="11"/>
        <v>4341900</v>
      </c>
      <c r="O21" s="9">
        <v>4341900</v>
      </c>
      <c r="P21" s="9"/>
      <c r="Q21" s="9">
        <v>3487940</v>
      </c>
      <c r="R21" s="9">
        <v>5231910</v>
      </c>
      <c r="S21" s="9">
        <v>8022000</v>
      </c>
      <c r="T21" s="14">
        <v>12315800</v>
      </c>
      <c r="U21" s="14">
        <v>-2592800</v>
      </c>
      <c r="V21" s="14">
        <f t="shared" si="12"/>
        <v>9723000</v>
      </c>
      <c r="W21" s="565">
        <v>0</v>
      </c>
      <c r="X21" s="565">
        <f t="shared" si="13"/>
        <v>9723000</v>
      </c>
      <c r="Y21" s="565">
        <v>0</v>
      </c>
      <c r="Z21" s="565">
        <f t="shared" si="14"/>
        <v>9723000</v>
      </c>
    </row>
    <row r="22" spans="1:29" ht="15.75">
      <c r="A22" s="623">
        <v>18</v>
      </c>
      <c r="B22" s="160" t="s">
        <v>183</v>
      </c>
      <c r="C22" s="54">
        <v>9421122</v>
      </c>
      <c r="D22" s="52" t="s">
        <v>196</v>
      </c>
      <c r="E22" s="700" t="s">
        <v>197</v>
      </c>
      <c r="F22" s="700"/>
      <c r="G22" s="52">
        <f>G23+G24</f>
        <v>36274800</v>
      </c>
      <c r="H22" s="52">
        <f>SUM(H23:H24)</f>
        <v>43148200</v>
      </c>
      <c r="I22" s="52">
        <f t="shared" ref="I22:J22" si="15">SUM(I23:I24)</f>
        <v>0</v>
      </c>
      <c r="J22" s="52">
        <f t="shared" si="15"/>
        <v>43148200</v>
      </c>
      <c r="K22" s="11">
        <f>SUM(K23:K25)</f>
        <v>0</v>
      </c>
      <c r="L22" s="11">
        <f>SUM(L23:L25)</f>
        <v>43148200</v>
      </c>
      <c r="M22" s="3">
        <v>0</v>
      </c>
      <c r="N22" s="11">
        <f t="shared" si="11"/>
        <v>43148200</v>
      </c>
      <c r="O22" s="11">
        <v>44735820</v>
      </c>
      <c r="P22" s="11">
        <v>44774780</v>
      </c>
      <c r="Q22" s="11">
        <v>59839000</v>
      </c>
      <c r="R22" s="11">
        <v>59280000</v>
      </c>
      <c r="S22" s="11">
        <v>78602544</v>
      </c>
      <c r="T22" s="48">
        <v>88548524</v>
      </c>
      <c r="U22" s="48">
        <v>-5067796</v>
      </c>
      <c r="V22" s="48">
        <f>SUM(T22:U22)</f>
        <v>83480728</v>
      </c>
      <c r="W22" s="638">
        <v>0</v>
      </c>
      <c r="X22" s="638">
        <f>SUM(V22:W22)</f>
        <v>83480728</v>
      </c>
      <c r="Y22" s="638">
        <v>1103194</v>
      </c>
      <c r="Z22" s="638">
        <f>SUM(X22:Y22)</f>
        <v>84583922</v>
      </c>
    </row>
    <row r="23" spans="1:29" ht="15.75">
      <c r="A23" s="623">
        <v>19</v>
      </c>
      <c r="B23" s="160"/>
      <c r="C23" s="54"/>
      <c r="D23" s="52"/>
      <c r="E23" s="139"/>
      <c r="F23" s="139" t="s">
        <v>188</v>
      </c>
      <c r="G23" s="56">
        <v>24183200</v>
      </c>
      <c r="H23" s="56">
        <v>28765467</v>
      </c>
      <c r="I23" s="9">
        <v>0</v>
      </c>
      <c r="J23" s="9">
        <f t="shared" si="10"/>
        <v>28765467</v>
      </c>
      <c r="K23" s="9">
        <v>0</v>
      </c>
      <c r="L23" s="9">
        <f>J23</f>
        <v>28765467</v>
      </c>
      <c r="M23" s="3">
        <v>0</v>
      </c>
      <c r="N23" s="9">
        <f t="shared" si="11"/>
        <v>28765467</v>
      </c>
      <c r="O23" s="9"/>
      <c r="P23" s="9"/>
      <c r="Q23" s="9"/>
      <c r="R23" s="9"/>
      <c r="S23" s="9"/>
      <c r="T23" s="14"/>
      <c r="U23" s="14"/>
      <c r="V23" s="14"/>
      <c r="W23" s="565"/>
      <c r="X23" s="565"/>
      <c r="Y23" s="565"/>
      <c r="Z23" s="565"/>
    </row>
    <row r="24" spans="1:29" ht="15.75">
      <c r="A24" s="623">
        <v>20</v>
      </c>
      <c r="B24" s="160"/>
      <c r="C24" s="54"/>
      <c r="D24" s="52"/>
      <c r="E24" s="139"/>
      <c r="F24" s="139" t="s">
        <v>189</v>
      </c>
      <c r="G24" s="56">
        <v>12091600</v>
      </c>
      <c r="H24" s="56">
        <v>14382733</v>
      </c>
      <c r="I24" s="9">
        <v>0</v>
      </c>
      <c r="J24" s="9">
        <f t="shared" si="10"/>
        <v>14382733</v>
      </c>
      <c r="K24" s="9">
        <v>0</v>
      </c>
      <c r="L24" s="9">
        <f>J24</f>
        <v>14382733</v>
      </c>
      <c r="M24" s="3">
        <v>0</v>
      </c>
      <c r="N24" s="9">
        <f t="shared" si="11"/>
        <v>14382733</v>
      </c>
      <c r="O24" s="9"/>
      <c r="P24" s="9"/>
      <c r="Q24" s="9"/>
      <c r="R24" s="9"/>
      <c r="S24" s="9"/>
      <c r="T24" s="14"/>
      <c r="U24" s="14"/>
      <c r="V24" s="14"/>
      <c r="W24" s="565"/>
      <c r="X24" s="565"/>
      <c r="Y24" s="565"/>
      <c r="Z24" s="565"/>
    </row>
    <row r="25" spans="1:29" ht="16.5" customHeight="1">
      <c r="A25" s="623">
        <v>21</v>
      </c>
      <c r="B25" s="160"/>
      <c r="C25" s="54"/>
      <c r="D25" s="52" t="s">
        <v>198</v>
      </c>
      <c r="E25" s="139" t="s">
        <v>504</v>
      </c>
      <c r="F25" s="55"/>
      <c r="G25" s="56">
        <v>0</v>
      </c>
      <c r="H25" s="56">
        <v>0</v>
      </c>
      <c r="I25" s="9">
        <v>0</v>
      </c>
      <c r="J25" s="9">
        <v>0</v>
      </c>
      <c r="K25" s="9">
        <v>0</v>
      </c>
      <c r="L25" s="9">
        <v>0</v>
      </c>
      <c r="M25" s="3">
        <v>0</v>
      </c>
      <c r="N25" s="3">
        <v>0</v>
      </c>
      <c r="O25" s="9"/>
      <c r="P25" s="9"/>
      <c r="Q25" s="9"/>
      <c r="R25" s="9">
        <v>0</v>
      </c>
      <c r="S25" s="9">
        <v>143400</v>
      </c>
      <c r="T25" s="14">
        <v>173800</v>
      </c>
      <c r="U25" s="14">
        <v>0</v>
      </c>
      <c r="V25" s="14">
        <f t="shared" ref="V25" si="16">SUM(T25:U25)</f>
        <v>173800</v>
      </c>
      <c r="W25" s="565">
        <v>0</v>
      </c>
      <c r="X25" s="565">
        <f t="shared" ref="X25" si="17">SUM(V25:W25)</f>
        <v>173800</v>
      </c>
      <c r="Y25" s="565">
        <v>0</v>
      </c>
      <c r="Z25" s="565">
        <f t="shared" ref="Z25" si="18">SUM(X25:Y25)</f>
        <v>173800</v>
      </c>
    </row>
    <row r="26" spans="1:29" ht="15.75">
      <c r="A26" s="623">
        <v>22</v>
      </c>
      <c r="B26" s="160" t="s">
        <v>183</v>
      </c>
      <c r="C26" s="57">
        <v>942112</v>
      </c>
      <c r="D26" s="47" t="s">
        <v>199</v>
      </c>
      <c r="E26" s="701" t="s">
        <v>200</v>
      </c>
      <c r="F26" s="701"/>
      <c r="G26" s="47">
        <f t="shared" ref="G26:L26" si="19">G11+G22+G25</f>
        <v>278497684</v>
      </c>
      <c r="H26" s="47">
        <f t="shared" si="19"/>
        <v>284097650</v>
      </c>
      <c r="I26" s="47">
        <f t="shared" si="19"/>
        <v>0</v>
      </c>
      <c r="J26" s="47">
        <f t="shared" si="19"/>
        <v>284097650</v>
      </c>
      <c r="K26" s="47">
        <f t="shared" si="19"/>
        <v>0</v>
      </c>
      <c r="L26" s="47">
        <f t="shared" si="19"/>
        <v>284097650</v>
      </c>
      <c r="M26" s="16">
        <v>0</v>
      </c>
      <c r="N26" s="11">
        <f>L26+0</f>
        <v>284097650</v>
      </c>
      <c r="O26" s="11">
        <f>O22+O21+O20+O19+O16+O12</f>
        <v>304062820</v>
      </c>
      <c r="P26" s="111">
        <f>SUM(P11,P22,P25:P25)</f>
        <v>333674930</v>
      </c>
      <c r="Q26" s="111">
        <f>SUM(Q11,Q22,Q25:Q25)</f>
        <v>394561816</v>
      </c>
      <c r="R26" s="111">
        <f>SUM(R11,R22,R25:R25)</f>
        <v>394507130</v>
      </c>
      <c r="S26" s="111">
        <f>SUM(S11,S22,S25:S25)</f>
        <v>588141344</v>
      </c>
      <c r="T26" s="180">
        <f>SUM(T11,T22,T25:T25)</f>
        <v>744428624</v>
      </c>
      <c r="U26" s="180">
        <f t="shared" ref="U26:W26" si="20">SUM(U11,U22,U25:U25)</f>
        <v>-33723296</v>
      </c>
      <c r="V26" s="180">
        <f>SUM(V11,V22,V25:V25)</f>
        <v>710705328</v>
      </c>
      <c r="W26" s="122">
        <f t="shared" si="20"/>
        <v>4050000</v>
      </c>
      <c r="X26" s="122">
        <f>SUM(X11,X22,X25:X25)</f>
        <v>714755328</v>
      </c>
      <c r="Y26" s="122">
        <f t="shared" ref="Y26" si="21">SUM(Y11,Y22,Y25:Y25)</f>
        <v>7245394</v>
      </c>
      <c r="Z26" s="122">
        <f>SUM(Z11,Z22,Z25:Z25)</f>
        <v>722000722</v>
      </c>
    </row>
    <row r="27" spans="1:29">
      <c r="A27" s="623">
        <v>23</v>
      </c>
      <c r="B27" s="160" t="s">
        <v>183</v>
      </c>
      <c r="C27" s="58">
        <v>9421133</v>
      </c>
      <c r="D27" s="52" t="s">
        <v>201</v>
      </c>
      <c r="E27" s="55" t="s">
        <v>202</v>
      </c>
      <c r="F27" s="55"/>
      <c r="G27" s="56">
        <v>0</v>
      </c>
      <c r="H27" s="56">
        <v>0</v>
      </c>
      <c r="I27" s="9">
        <v>0</v>
      </c>
      <c r="J27" s="9">
        <v>0</v>
      </c>
      <c r="K27" s="9">
        <v>0</v>
      </c>
      <c r="L27" s="9">
        <f t="shared" ref="L27:L40" si="22">J27</f>
        <v>0</v>
      </c>
      <c r="M27" s="3">
        <v>0</v>
      </c>
      <c r="N27" s="3">
        <v>0</v>
      </c>
      <c r="O27" s="9"/>
      <c r="P27" s="9"/>
      <c r="Q27" s="9"/>
      <c r="R27" s="9"/>
      <c r="S27" s="9"/>
      <c r="T27" s="14"/>
      <c r="U27" s="14"/>
      <c r="V27" s="14"/>
      <c r="W27" s="565"/>
      <c r="X27" s="565"/>
      <c r="Y27" s="565"/>
      <c r="Z27" s="565"/>
    </row>
    <row r="28" spans="1:29" ht="15.75">
      <c r="A28" s="623">
        <v>24</v>
      </c>
      <c r="B28" s="160"/>
      <c r="C28" s="12"/>
      <c r="D28" s="9" t="s">
        <v>203</v>
      </c>
      <c r="E28" s="686" t="s">
        <v>204</v>
      </c>
      <c r="F28" s="686"/>
      <c r="G28" s="9">
        <v>10200000</v>
      </c>
      <c r="H28" s="10">
        <v>10200000</v>
      </c>
      <c r="I28" s="9">
        <v>0</v>
      </c>
      <c r="J28" s="9">
        <f t="shared" ref="J28:J34" si="23">H28</f>
        <v>10200000</v>
      </c>
      <c r="K28" s="9">
        <v>0</v>
      </c>
      <c r="L28" s="9">
        <f t="shared" si="22"/>
        <v>10200000</v>
      </c>
      <c r="M28" s="3">
        <v>0</v>
      </c>
      <c r="N28" s="9">
        <f>L28+M28</f>
        <v>10200000</v>
      </c>
      <c r="O28" s="9">
        <v>10200000</v>
      </c>
      <c r="P28" s="9">
        <v>11890000</v>
      </c>
      <c r="Q28" s="9">
        <v>14873926</v>
      </c>
      <c r="R28" s="9">
        <v>14873926</v>
      </c>
      <c r="S28" s="9">
        <v>18600680</v>
      </c>
      <c r="T28" s="14">
        <v>18600680</v>
      </c>
      <c r="U28" s="14">
        <v>22811320</v>
      </c>
      <c r="V28" s="14">
        <f t="shared" ref="V28:V40" si="24">SUM(T28:U28)</f>
        <v>41412000</v>
      </c>
      <c r="W28" s="565">
        <v>0</v>
      </c>
      <c r="X28" s="565">
        <f t="shared" ref="X28:X40" si="25">SUM(V28:W28)</f>
        <v>41412000</v>
      </c>
      <c r="Y28" s="565">
        <v>0</v>
      </c>
      <c r="Z28" s="565">
        <f t="shared" ref="Z28:Z40" si="26">SUM(X28:Y28)</f>
        <v>41412000</v>
      </c>
      <c r="AB28" s="626">
        <v>41412000</v>
      </c>
      <c r="AC28" s="627">
        <f>AB28-T28</f>
        <v>22811320</v>
      </c>
    </row>
    <row r="29" spans="1:29" ht="15.75">
      <c r="A29" s="623">
        <v>25</v>
      </c>
      <c r="B29" s="160"/>
      <c r="C29" s="12"/>
      <c r="D29" s="9" t="s">
        <v>205</v>
      </c>
      <c r="E29" s="686" t="s">
        <v>432</v>
      </c>
      <c r="F29" s="686"/>
      <c r="G29" s="9">
        <v>24090000</v>
      </c>
      <c r="H29" s="59">
        <v>27390000</v>
      </c>
      <c r="I29" s="9">
        <v>0</v>
      </c>
      <c r="J29" s="9">
        <f t="shared" si="23"/>
        <v>27390000</v>
      </c>
      <c r="K29" s="9">
        <v>0</v>
      </c>
      <c r="L29" s="9">
        <f t="shared" si="22"/>
        <v>27390000</v>
      </c>
      <c r="M29" s="3">
        <v>0</v>
      </c>
      <c r="N29" s="9">
        <f>L29+M29</f>
        <v>27390000</v>
      </c>
      <c r="O29" s="9">
        <v>27390000</v>
      </c>
      <c r="P29" s="9">
        <v>29565000</v>
      </c>
      <c r="Q29" s="9">
        <v>39236157</v>
      </c>
      <c r="R29" s="9">
        <v>38751760</v>
      </c>
      <c r="S29" s="9">
        <v>51431370</v>
      </c>
      <c r="T29" s="14">
        <v>53483000</v>
      </c>
      <c r="U29" s="14">
        <v>0</v>
      </c>
      <c r="V29" s="14">
        <f t="shared" si="24"/>
        <v>53483000</v>
      </c>
      <c r="W29" s="565">
        <v>0</v>
      </c>
      <c r="X29" s="565">
        <f t="shared" si="25"/>
        <v>53483000</v>
      </c>
      <c r="Y29" s="565">
        <v>0</v>
      </c>
      <c r="Z29" s="565">
        <f t="shared" si="26"/>
        <v>53483000</v>
      </c>
      <c r="AB29" s="626">
        <v>53483000</v>
      </c>
      <c r="AC29" s="627">
        <f t="shared" ref="AC29:AC30" si="27">AB29-T29</f>
        <v>0</v>
      </c>
    </row>
    <row r="30" spans="1:29" ht="15.75">
      <c r="A30" s="623">
        <v>26</v>
      </c>
      <c r="B30" s="160"/>
      <c r="C30" s="12"/>
      <c r="D30" s="9" t="s">
        <v>206</v>
      </c>
      <c r="E30" s="686" t="s">
        <v>207</v>
      </c>
      <c r="F30" s="686"/>
      <c r="G30" s="9">
        <v>5314560</v>
      </c>
      <c r="H30" s="10">
        <v>5702080</v>
      </c>
      <c r="I30" s="9">
        <v>0</v>
      </c>
      <c r="J30" s="9">
        <f t="shared" si="23"/>
        <v>5702080</v>
      </c>
      <c r="K30" s="9">
        <v>0</v>
      </c>
      <c r="L30" s="9">
        <f t="shared" si="22"/>
        <v>5702080</v>
      </c>
      <c r="M30" s="3">
        <v>0</v>
      </c>
      <c r="N30" s="9">
        <f>L30+M30</f>
        <v>5702080</v>
      </c>
      <c r="O30" s="9">
        <v>6536000</v>
      </c>
      <c r="P30" s="9">
        <v>12608400</v>
      </c>
      <c r="Q30" s="9">
        <v>14023900</v>
      </c>
      <c r="R30" s="9">
        <v>13016750</v>
      </c>
      <c r="S30" s="9">
        <v>16972000</v>
      </c>
      <c r="T30" s="14">
        <v>18589200</v>
      </c>
      <c r="U30" s="14">
        <v>0</v>
      </c>
      <c r="V30" s="14">
        <f t="shared" si="24"/>
        <v>18589200</v>
      </c>
      <c r="W30" s="565">
        <v>0</v>
      </c>
      <c r="X30" s="565">
        <f t="shared" si="25"/>
        <v>18589200</v>
      </c>
      <c r="Y30" s="565">
        <v>-531120</v>
      </c>
      <c r="Z30" s="565">
        <f t="shared" si="26"/>
        <v>18058080</v>
      </c>
      <c r="AB30" s="626">
        <v>28765870</v>
      </c>
      <c r="AC30" s="627">
        <f t="shared" si="27"/>
        <v>10176670</v>
      </c>
    </row>
    <row r="31" spans="1:29" ht="15.75">
      <c r="A31" s="623">
        <v>27</v>
      </c>
      <c r="B31" s="160"/>
      <c r="C31" s="12"/>
      <c r="D31" s="9" t="s">
        <v>208</v>
      </c>
      <c r="E31" s="686" t="s">
        <v>209</v>
      </c>
      <c r="F31" s="686"/>
      <c r="G31" s="9">
        <v>11090000</v>
      </c>
      <c r="H31" s="10">
        <v>10810000</v>
      </c>
      <c r="I31" s="9">
        <v>0</v>
      </c>
      <c r="J31" s="60">
        <f t="shared" si="23"/>
        <v>10810000</v>
      </c>
      <c r="K31" s="61">
        <v>0</v>
      </c>
      <c r="L31" s="9">
        <f t="shared" si="22"/>
        <v>10810000</v>
      </c>
      <c r="M31" s="3">
        <v>0</v>
      </c>
      <c r="N31" s="9">
        <f>L31+M31</f>
        <v>10810000</v>
      </c>
      <c r="O31" s="9">
        <v>10505000</v>
      </c>
      <c r="P31" s="9">
        <v>11816000</v>
      </c>
      <c r="Q31" s="9">
        <v>15383290</v>
      </c>
      <c r="R31" s="9">
        <v>14357030</v>
      </c>
      <c r="S31" s="9">
        <v>18175000</v>
      </c>
      <c r="T31" s="14">
        <v>25375900</v>
      </c>
      <c r="U31" s="14">
        <v>0</v>
      </c>
      <c r="V31" s="14">
        <f t="shared" si="24"/>
        <v>25375900</v>
      </c>
      <c r="W31" s="565">
        <v>0</v>
      </c>
      <c r="X31" s="565">
        <f t="shared" si="25"/>
        <v>25375900</v>
      </c>
      <c r="Y31" s="565">
        <v>-623100</v>
      </c>
      <c r="Z31" s="565">
        <f t="shared" si="26"/>
        <v>24752800</v>
      </c>
    </row>
    <row r="32" spans="1:29" ht="15.75">
      <c r="A32" s="623">
        <v>28</v>
      </c>
      <c r="B32" s="160"/>
      <c r="C32" s="12"/>
      <c r="D32" s="9" t="s">
        <v>210</v>
      </c>
      <c r="E32" s="686" t="s">
        <v>211</v>
      </c>
      <c r="F32" s="686"/>
      <c r="G32" s="9">
        <v>3100000</v>
      </c>
      <c r="H32" s="10">
        <v>3100000</v>
      </c>
      <c r="I32" s="9">
        <v>0</v>
      </c>
      <c r="J32" s="9">
        <f t="shared" si="23"/>
        <v>3100000</v>
      </c>
      <c r="K32" s="9">
        <v>0</v>
      </c>
      <c r="L32" s="9">
        <f t="shared" si="22"/>
        <v>3100000</v>
      </c>
      <c r="M32" s="3">
        <v>0</v>
      </c>
      <c r="N32" s="9">
        <f t="shared" ref="N32:N40" si="28">L32+M32</f>
        <v>3100000</v>
      </c>
      <c r="O32" s="9">
        <v>4250000</v>
      </c>
      <c r="P32" s="9">
        <v>4479000</v>
      </c>
      <c r="Q32" s="9">
        <v>5142300</v>
      </c>
      <c r="R32" s="9">
        <v>5142300</v>
      </c>
      <c r="S32" s="9">
        <v>6047200</v>
      </c>
      <c r="T32" s="14">
        <v>6343500</v>
      </c>
      <c r="U32" s="14">
        <v>0</v>
      </c>
      <c r="V32" s="14">
        <f t="shared" si="24"/>
        <v>6343500</v>
      </c>
      <c r="W32" s="565">
        <v>0</v>
      </c>
      <c r="X32" s="565">
        <f t="shared" si="25"/>
        <v>6343500</v>
      </c>
      <c r="Y32" s="565">
        <v>0</v>
      </c>
      <c r="Z32" s="565">
        <f t="shared" si="26"/>
        <v>6343500</v>
      </c>
    </row>
    <row r="33" spans="1:26" ht="15.75">
      <c r="A33" s="623">
        <v>29</v>
      </c>
      <c r="B33" s="160"/>
      <c r="C33" s="12"/>
      <c r="D33" s="9" t="s">
        <v>212</v>
      </c>
      <c r="E33" s="686" t="s">
        <v>213</v>
      </c>
      <c r="F33" s="686"/>
      <c r="G33" s="9">
        <v>6431000</v>
      </c>
      <c r="H33" s="9">
        <v>6322000</v>
      </c>
      <c r="I33" s="9">
        <v>0</v>
      </c>
      <c r="J33" s="9">
        <f t="shared" si="23"/>
        <v>6322000</v>
      </c>
      <c r="K33" s="9">
        <v>0</v>
      </c>
      <c r="L33" s="9">
        <f t="shared" si="22"/>
        <v>6322000</v>
      </c>
      <c r="M33" s="3">
        <v>0</v>
      </c>
      <c r="N33" s="9">
        <f t="shared" si="28"/>
        <v>6322000</v>
      </c>
      <c r="O33" s="9">
        <v>10830000</v>
      </c>
      <c r="P33" s="9">
        <v>12586000</v>
      </c>
      <c r="Q33" s="9">
        <v>14979390</v>
      </c>
      <c r="R33" s="9">
        <v>5935230</v>
      </c>
      <c r="S33" s="9">
        <v>8745750</v>
      </c>
      <c r="T33" s="14">
        <v>8942400</v>
      </c>
      <c r="U33" s="14">
        <v>0</v>
      </c>
      <c r="V33" s="14">
        <f t="shared" si="24"/>
        <v>8942400</v>
      </c>
      <c r="W33" s="565">
        <v>0</v>
      </c>
      <c r="X33" s="565">
        <f t="shared" si="25"/>
        <v>8942400</v>
      </c>
      <c r="Y33" s="565">
        <v>-372600</v>
      </c>
      <c r="Z33" s="565">
        <f t="shared" si="26"/>
        <v>8569800</v>
      </c>
    </row>
    <row r="34" spans="1:26" ht="15" customHeight="1">
      <c r="A34" s="623">
        <v>30</v>
      </c>
      <c r="B34" s="160"/>
      <c r="C34" s="12"/>
      <c r="D34" s="9" t="s">
        <v>214</v>
      </c>
      <c r="E34" s="686" t="s">
        <v>215</v>
      </c>
      <c r="F34" s="686"/>
      <c r="G34" s="9">
        <v>3915900</v>
      </c>
      <c r="H34" s="9">
        <v>3503700</v>
      </c>
      <c r="I34" s="9">
        <v>0</v>
      </c>
      <c r="J34" s="9">
        <f t="shared" si="23"/>
        <v>3503700</v>
      </c>
      <c r="K34" s="9">
        <v>0</v>
      </c>
      <c r="L34" s="9">
        <f t="shared" si="22"/>
        <v>3503700</v>
      </c>
      <c r="M34" s="3">
        <v>0</v>
      </c>
      <c r="N34" s="9">
        <f t="shared" si="28"/>
        <v>3503700</v>
      </c>
      <c r="O34" s="9">
        <v>4064700</v>
      </c>
      <c r="P34" s="9">
        <v>14334600</v>
      </c>
      <c r="Q34" s="9">
        <v>16039480</v>
      </c>
      <c r="R34" s="9">
        <v>15745740</v>
      </c>
      <c r="S34" s="9">
        <f>6423120+13366900</f>
        <v>19790020</v>
      </c>
      <c r="T34" s="14">
        <f>8399600+14302600</f>
        <v>22702200</v>
      </c>
      <c r="U34" s="14">
        <v>0</v>
      </c>
      <c r="V34" s="14">
        <f t="shared" si="24"/>
        <v>22702200</v>
      </c>
      <c r="W34" s="565">
        <v>0</v>
      </c>
      <c r="X34" s="565">
        <f t="shared" si="25"/>
        <v>22702200</v>
      </c>
      <c r="Y34" s="565">
        <v>-1527200</v>
      </c>
      <c r="Z34" s="565">
        <f t="shared" si="26"/>
        <v>21175000</v>
      </c>
    </row>
    <row r="35" spans="1:26" ht="15.75">
      <c r="A35" s="623">
        <v>31</v>
      </c>
      <c r="B35" s="160"/>
      <c r="C35" s="12"/>
      <c r="D35" s="9" t="s">
        <v>216</v>
      </c>
      <c r="E35" s="686" t="s">
        <v>217</v>
      </c>
      <c r="F35" s="686"/>
      <c r="G35" s="9">
        <v>58152000</v>
      </c>
      <c r="H35" s="9">
        <v>0</v>
      </c>
      <c r="I35" s="9">
        <v>0</v>
      </c>
      <c r="J35" s="61">
        <v>0</v>
      </c>
      <c r="K35" s="61">
        <v>0</v>
      </c>
      <c r="L35" s="9">
        <f t="shared" si="22"/>
        <v>0</v>
      </c>
      <c r="M35" s="3">
        <v>0</v>
      </c>
      <c r="N35" s="9">
        <f t="shared" si="28"/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14">
        <v>0</v>
      </c>
      <c r="U35" s="14">
        <v>0</v>
      </c>
      <c r="V35" s="14">
        <f t="shared" si="24"/>
        <v>0</v>
      </c>
      <c r="W35" s="565">
        <v>0</v>
      </c>
      <c r="X35" s="565">
        <f t="shared" si="25"/>
        <v>0</v>
      </c>
      <c r="Y35" s="565">
        <v>0</v>
      </c>
      <c r="Z35" s="565">
        <f t="shared" si="26"/>
        <v>0</v>
      </c>
    </row>
    <row r="36" spans="1:26" ht="15.75">
      <c r="A36" s="623">
        <v>32</v>
      </c>
      <c r="B36" s="160"/>
      <c r="C36" s="12"/>
      <c r="D36" s="9"/>
      <c r="E36" s="699" t="s">
        <v>218</v>
      </c>
      <c r="F36" s="694"/>
      <c r="G36" s="9">
        <v>0</v>
      </c>
      <c r="H36" s="9">
        <v>8838000</v>
      </c>
      <c r="I36" s="9">
        <v>0</v>
      </c>
      <c r="J36" s="61">
        <f t="shared" ref="J36:J48" si="29">H36</f>
        <v>8838000</v>
      </c>
      <c r="K36" s="61">
        <v>0</v>
      </c>
      <c r="L36" s="9">
        <f t="shared" si="22"/>
        <v>8838000</v>
      </c>
      <c r="M36" s="3">
        <v>0</v>
      </c>
      <c r="N36" s="9">
        <f t="shared" si="28"/>
        <v>8838000</v>
      </c>
      <c r="O36" s="9">
        <v>8838000</v>
      </c>
      <c r="P36" s="9">
        <v>10200000</v>
      </c>
      <c r="Q36" s="9">
        <v>34953500</v>
      </c>
      <c r="R36" s="9">
        <v>38448850</v>
      </c>
      <c r="S36" s="9">
        <v>53688600</v>
      </c>
      <c r="T36" s="14">
        <v>92673000</v>
      </c>
      <c r="U36" s="14">
        <v>0</v>
      </c>
      <c r="V36" s="14">
        <f t="shared" si="24"/>
        <v>92673000</v>
      </c>
      <c r="W36" s="565">
        <v>0</v>
      </c>
      <c r="X36" s="565">
        <f t="shared" si="25"/>
        <v>92673000</v>
      </c>
      <c r="Y36" s="565">
        <v>0</v>
      </c>
      <c r="Z36" s="565">
        <f t="shared" si="26"/>
        <v>92673000</v>
      </c>
    </row>
    <row r="37" spans="1:26" ht="15.75">
      <c r="A37" s="623">
        <v>33</v>
      </c>
      <c r="B37" s="160"/>
      <c r="C37" s="12"/>
      <c r="D37" s="9"/>
      <c r="E37" s="699" t="s">
        <v>219</v>
      </c>
      <c r="F37" s="694"/>
      <c r="G37" s="9">
        <v>0</v>
      </c>
      <c r="H37" s="9">
        <v>53874000</v>
      </c>
      <c r="I37" s="9">
        <v>0</v>
      </c>
      <c r="J37" s="61">
        <v>53874000</v>
      </c>
      <c r="K37" s="61">
        <v>0</v>
      </c>
      <c r="L37" s="9">
        <f t="shared" si="22"/>
        <v>53874000</v>
      </c>
      <c r="M37" s="3">
        <v>0</v>
      </c>
      <c r="N37" s="9">
        <f t="shared" si="28"/>
        <v>53874000</v>
      </c>
      <c r="O37" s="9">
        <v>53874000</v>
      </c>
      <c r="P37" s="9">
        <v>76680000</v>
      </c>
      <c r="Q37" s="9">
        <v>88883900</v>
      </c>
      <c r="R37" s="9">
        <v>99789900</v>
      </c>
      <c r="S37" s="9">
        <v>105305200</v>
      </c>
      <c r="T37" s="14">
        <v>108602400</v>
      </c>
      <c r="U37" s="14">
        <v>0</v>
      </c>
      <c r="V37" s="14">
        <f t="shared" si="24"/>
        <v>108602400</v>
      </c>
      <c r="W37" s="565">
        <v>0</v>
      </c>
      <c r="X37" s="565">
        <f t="shared" si="25"/>
        <v>108602400</v>
      </c>
      <c r="Y37" s="565">
        <v>0</v>
      </c>
      <c r="Z37" s="565">
        <f t="shared" si="26"/>
        <v>108602400</v>
      </c>
    </row>
    <row r="38" spans="1:26" ht="15.75">
      <c r="A38" s="623">
        <v>34</v>
      </c>
      <c r="B38" s="160"/>
      <c r="C38" s="12"/>
      <c r="D38" s="9"/>
      <c r="E38" s="699" t="s">
        <v>220</v>
      </c>
      <c r="F38" s="694"/>
      <c r="G38" s="9">
        <v>0</v>
      </c>
      <c r="H38" s="9">
        <v>13013000</v>
      </c>
      <c r="I38" s="9">
        <v>0</v>
      </c>
      <c r="J38" s="61">
        <f t="shared" si="29"/>
        <v>13013000</v>
      </c>
      <c r="K38" s="61">
        <v>0</v>
      </c>
      <c r="L38" s="9">
        <f t="shared" si="22"/>
        <v>13013000</v>
      </c>
      <c r="M38" s="3">
        <v>0</v>
      </c>
      <c r="N38" s="9">
        <f t="shared" si="28"/>
        <v>13013000</v>
      </c>
      <c r="O38" s="9">
        <v>24001000</v>
      </c>
      <c r="P38" s="9">
        <v>17500000</v>
      </c>
      <c r="Q38" s="9">
        <v>16209000</v>
      </c>
      <c r="R38" s="9">
        <v>21998000</v>
      </c>
      <c r="S38" s="9">
        <v>15840800</v>
      </c>
      <c r="T38" s="14">
        <v>35840000</v>
      </c>
      <c r="U38" s="14">
        <v>0</v>
      </c>
      <c r="V38" s="14">
        <f t="shared" si="24"/>
        <v>35840000</v>
      </c>
      <c r="W38" s="565">
        <v>0</v>
      </c>
      <c r="X38" s="565">
        <f t="shared" si="25"/>
        <v>35840000</v>
      </c>
      <c r="Y38" s="565">
        <v>0</v>
      </c>
      <c r="Z38" s="565">
        <f t="shared" si="26"/>
        <v>35840000</v>
      </c>
    </row>
    <row r="39" spans="1:26" s="62" customFormat="1" ht="15.75">
      <c r="A39" s="623">
        <v>35</v>
      </c>
      <c r="B39" s="161"/>
      <c r="C39" s="63"/>
      <c r="D39" s="64"/>
      <c r="E39" s="699" t="s">
        <v>433</v>
      </c>
      <c r="F39" s="694"/>
      <c r="G39" s="61">
        <v>0</v>
      </c>
      <c r="H39" s="61">
        <v>22975651</v>
      </c>
      <c r="I39" s="65">
        <v>0</v>
      </c>
      <c r="J39" s="61">
        <f t="shared" si="29"/>
        <v>22975651</v>
      </c>
      <c r="K39" s="61">
        <v>0</v>
      </c>
      <c r="L39" s="61">
        <f t="shared" si="22"/>
        <v>22975651</v>
      </c>
      <c r="M39" s="89">
        <v>0</v>
      </c>
      <c r="N39" s="9">
        <f t="shared" si="28"/>
        <v>22975651</v>
      </c>
      <c r="O39" s="61">
        <v>22427860</v>
      </c>
      <c r="P39" s="9">
        <v>22328700</v>
      </c>
      <c r="Q39" s="9">
        <v>22082288</v>
      </c>
      <c r="R39" s="9">
        <v>21866675</v>
      </c>
      <c r="S39" s="9">
        <v>26752000</v>
      </c>
      <c r="T39" s="14">
        <v>28765870</v>
      </c>
      <c r="U39" s="14">
        <v>0</v>
      </c>
      <c r="V39" s="14">
        <f t="shared" si="24"/>
        <v>28765870</v>
      </c>
      <c r="W39" s="565">
        <v>0</v>
      </c>
      <c r="X39" s="565">
        <f t="shared" si="25"/>
        <v>28765870</v>
      </c>
      <c r="Y39" s="565">
        <v>0</v>
      </c>
      <c r="Z39" s="565">
        <f t="shared" si="26"/>
        <v>28765870</v>
      </c>
    </row>
    <row r="40" spans="1:26" ht="15.75">
      <c r="A40" s="623">
        <v>36</v>
      </c>
      <c r="B40" s="160"/>
      <c r="C40" s="12"/>
      <c r="D40" s="9" t="s">
        <v>221</v>
      </c>
      <c r="E40" s="686" t="s">
        <v>222</v>
      </c>
      <c r="F40" s="686"/>
      <c r="G40" s="9">
        <v>10780000</v>
      </c>
      <c r="H40" s="9">
        <v>10780000</v>
      </c>
      <c r="I40" s="9">
        <v>0</v>
      </c>
      <c r="J40" s="61">
        <f t="shared" si="29"/>
        <v>10780000</v>
      </c>
      <c r="K40" s="9">
        <v>0</v>
      </c>
      <c r="L40" s="9">
        <f t="shared" si="22"/>
        <v>10780000</v>
      </c>
      <c r="M40" s="3">
        <v>0</v>
      </c>
      <c r="N40" s="9">
        <f t="shared" si="28"/>
        <v>10780000</v>
      </c>
      <c r="O40" s="9">
        <v>12525700</v>
      </c>
      <c r="P40" s="9">
        <v>13229700</v>
      </c>
      <c r="Q40" s="9">
        <v>15480740</v>
      </c>
      <c r="R40" s="9">
        <v>15480740</v>
      </c>
      <c r="S40" s="9">
        <v>18891400</v>
      </c>
      <c r="T40" s="14">
        <v>20101400</v>
      </c>
      <c r="U40" s="14">
        <v>0</v>
      </c>
      <c r="V40" s="14">
        <f t="shared" si="24"/>
        <v>20101400</v>
      </c>
      <c r="W40" s="565">
        <v>0</v>
      </c>
      <c r="X40" s="565">
        <f t="shared" si="25"/>
        <v>20101400</v>
      </c>
      <c r="Y40" s="565">
        <v>0</v>
      </c>
      <c r="Z40" s="565">
        <f t="shared" si="26"/>
        <v>20101400</v>
      </c>
    </row>
    <row r="41" spans="1:26" ht="15" customHeight="1">
      <c r="A41" s="623">
        <v>37</v>
      </c>
      <c r="B41" s="160"/>
      <c r="C41" s="66">
        <v>9421133</v>
      </c>
      <c r="D41" s="8" t="s">
        <v>223</v>
      </c>
      <c r="E41" s="703" t="s">
        <v>224</v>
      </c>
      <c r="F41" s="703"/>
      <c r="G41" s="52">
        <f>SUM(G27:G40)</f>
        <v>133073460</v>
      </c>
      <c r="H41" s="52">
        <f t="shared" ref="H41:U41" si="30">SUM(H28:H40)</f>
        <v>176508431</v>
      </c>
      <c r="I41" s="52">
        <f t="shared" si="30"/>
        <v>0</v>
      </c>
      <c r="J41" s="52">
        <f t="shared" si="30"/>
        <v>176508431</v>
      </c>
      <c r="K41" s="52">
        <f t="shared" si="30"/>
        <v>0</v>
      </c>
      <c r="L41" s="52">
        <f t="shared" si="30"/>
        <v>176508431</v>
      </c>
      <c r="M41" s="52">
        <f t="shared" si="30"/>
        <v>0</v>
      </c>
      <c r="N41" s="52">
        <f t="shared" si="30"/>
        <v>176508431</v>
      </c>
      <c r="O41" s="11">
        <f t="shared" si="30"/>
        <v>195442260</v>
      </c>
      <c r="P41" s="133">
        <f t="shared" si="30"/>
        <v>237217400</v>
      </c>
      <c r="Q41" s="133">
        <f t="shared" si="30"/>
        <v>297287871</v>
      </c>
      <c r="R41" s="133">
        <f t="shared" si="30"/>
        <v>305406901</v>
      </c>
      <c r="S41" s="133">
        <f t="shared" si="30"/>
        <v>360240020</v>
      </c>
      <c r="T41" s="558">
        <f t="shared" si="30"/>
        <v>440019550</v>
      </c>
      <c r="U41" s="558">
        <f t="shared" si="30"/>
        <v>22811320</v>
      </c>
      <c r="V41" s="558">
        <f>SUM(V28:V40)</f>
        <v>462830870</v>
      </c>
      <c r="W41" s="570">
        <f t="shared" ref="W41:Y41" si="31">SUM(W28:W40)</f>
        <v>0</v>
      </c>
      <c r="X41" s="570">
        <f>SUM(X28:X40)</f>
        <v>462830870</v>
      </c>
      <c r="Y41" s="570">
        <f t="shared" si="31"/>
        <v>-3054020</v>
      </c>
      <c r="Z41" s="570">
        <f>SUM(Z28:Z40)</f>
        <v>459776850</v>
      </c>
    </row>
    <row r="42" spans="1:26" ht="15.75">
      <c r="A42" s="623">
        <v>38</v>
      </c>
      <c r="B42" s="160"/>
      <c r="C42" s="66">
        <v>9421134</v>
      </c>
      <c r="D42" s="8" t="s">
        <v>225</v>
      </c>
      <c r="E42" s="704" t="s">
        <v>226</v>
      </c>
      <c r="F42" s="704"/>
      <c r="G42" s="52">
        <f>G43+G44</f>
        <v>38308000</v>
      </c>
      <c r="H42" s="52">
        <f>SUM(H43:H44)</f>
        <v>38150000</v>
      </c>
      <c r="I42" s="52">
        <f t="shared" ref="I42:N42" si="32">SUM(I43:I44)</f>
        <v>0</v>
      </c>
      <c r="J42" s="52">
        <f t="shared" si="32"/>
        <v>38150000</v>
      </c>
      <c r="K42" s="52">
        <f t="shared" si="32"/>
        <v>0</v>
      </c>
      <c r="L42" s="52">
        <f t="shared" si="32"/>
        <v>38150000</v>
      </c>
      <c r="M42" s="52">
        <f t="shared" si="32"/>
        <v>0</v>
      </c>
      <c r="N42" s="52">
        <f t="shared" si="32"/>
        <v>38150000</v>
      </c>
      <c r="O42" s="11">
        <f>O43+O44</f>
        <v>49804320</v>
      </c>
      <c r="P42" s="133">
        <f>SUM(P43:P44)</f>
        <v>51606320</v>
      </c>
      <c r="Q42" s="133">
        <f>SUM(Q43:Q44)</f>
        <v>59991300</v>
      </c>
      <c r="R42" s="133">
        <f>SUM(R43:R44)</f>
        <v>71403200</v>
      </c>
      <c r="S42" s="133">
        <f>SUM(S43:S44)</f>
        <v>78626300</v>
      </c>
      <c r="T42" s="558">
        <f>SUM(T43:T44)</f>
        <v>89377748</v>
      </c>
      <c r="U42" s="558">
        <v>0</v>
      </c>
      <c r="V42" s="558">
        <f>SUM(V43:V44)</f>
        <v>89377748</v>
      </c>
      <c r="W42" s="570">
        <v>0</v>
      </c>
      <c r="X42" s="570">
        <f>SUM(X43:X44)</f>
        <v>89377748</v>
      </c>
      <c r="Y42" s="570">
        <v>0</v>
      </c>
      <c r="Z42" s="570">
        <f>SUM(Z43:Z44)</f>
        <v>89377748</v>
      </c>
    </row>
    <row r="43" spans="1:26" ht="15.75">
      <c r="A43" s="623">
        <v>39</v>
      </c>
      <c r="B43" s="160"/>
      <c r="C43" s="66"/>
      <c r="D43" s="10" t="s">
        <v>227</v>
      </c>
      <c r="E43" s="705" t="s">
        <v>228</v>
      </c>
      <c r="F43" s="705"/>
      <c r="G43" s="56">
        <v>22784000</v>
      </c>
      <c r="H43" s="10">
        <v>22784000</v>
      </c>
      <c r="I43" s="9">
        <v>0</v>
      </c>
      <c r="J43" s="61">
        <f t="shared" si="29"/>
        <v>22784000</v>
      </c>
      <c r="K43" s="9">
        <v>0</v>
      </c>
      <c r="L43" s="9">
        <f>J43</f>
        <v>22784000</v>
      </c>
      <c r="M43" s="3">
        <v>0</v>
      </c>
      <c r="N43" s="9">
        <f>L43+M43</f>
        <v>22784000</v>
      </c>
      <c r="O43" s="9">
        <v>30864320</v>
      </c>
      <c r="P43" s="9">
        <v>33872320</v>
      </c>
      <c r="Q43" s="9">
        <v>38079300</v>
      </c>
      <c r="R43" s="9">
        <v>43519200</v>
      </c>
      <c r="S43" s="9">
        <v>50742300</v>
      </c>
      <c r="T43" s="14">
        <v>54538400</v>
      </c>
      <c r="U43" s="14">
        <v>0</v>
      </c>
      <c r="V43" s="14">
        <f>SUM(T43:U43)</f>
        <v>54538400</v>
      </c>
      <c r="W43" s="565">
        <v>0</v>
      </c>
      <c r="X43" s="565">
        <f>SUM(V43:W43)</f>
        <v>54538400</v>
      </c>
      <c r="Y43" s="565">
        <v>0</v>
      </c>
      <c r="Z43" s="565">
        <f>SUM(X43:Y43)</f>
        <v>54538400</v>
      </c>
    </row>
    <row r="44" spans="1:26" ht="15.75">
      <c r="A44" s="623">
        <v>40</v>
      </c>
      <c r="B44" s="160"/>
      <c r="C44" s="66"/>
      <c r="D44" s="10" t="s">
        <v>229</v>
      </c>
      <c r="E44" s="705" t="s">
        <v>230</v>
      </c>
      <c r="F44" s="705"/>
      <c r="G44" s="56">
        <v>15524000</v>
      </c>
      <c r="H44" s="10">
        <v>15366000</v>
      </c>
      <c r="I44" s="9">
        <v>0</v>
      </c>
      <c r="J44" s="9">
        <f t="shared" si="29"/>
        <v>15366000</v>
      </c>
      <c r="K44" s="9">
        <v>0</v>
      </c>
      <c r="L44" s="9">
        <f>J44</f>
        <v>15366000</v>
      </c>
      <c r="M44" s="3">
        <v>0</v>
      </c>
      <c r="N44" s="9">
        <f>L44+M44</f>
        <v>15366000</v>
      </c>
      <c r="O44" s="9">
        <v>18940000</v>
      </c>
      <c r="P44" s="9">
        <v>17734000</v>
      </c>
      <c r="Q44" s="9">
        <v>21912000</v>
      </c>
      <c r="R44" s="9">
        <v>27884000</v>
      </c>
      <c r="S44" s="9">
        <v>27884000</v>
      </c>
      <c r="T44" s="14">
        <v>34839348</v>
      </c>
      <c r="U44" s="14">
        <v>0</v>
      </c>
      <c r="V44" s="14">
        <f>SUM(T44:U44)</f>
        <v>34839348</v>
      </c>
      <c r="W44" s="565">
        <v>0</v>
      </c>
      <c r="X44" s="565">
        <f>SUM(V44:W44)</f>
        <v>34839348</v>
      </c>
      <c r="Y44" s="565">
        <v>0</v>
      </c>
      <c r="Z44" s="565">
        <f>SUM(X44:Y44)</f>
        <v>34839348</v>
      </c>
    </row>
    <row r="45" spans="1:26" ht="15.75">
      <c r="A45" s="623">
        <v>41</v>
      </c>
      <c r="B45" s="160"/>
      <c r="C45" s="49">
        <v>9421123</v>
      </c>
      <c r="D45" s="8" t="s">
        <v>231</v>
      </c>
      <c r="E45" s="703" t="s">
        <v>232</v>
      </c>
      <c r="F45" s="703"/>
      <c r="G45" s="52">
        <f>G46+G47+G48</f>
        <v>88326315</v>
      </c>
      <c r="H45" s="52">
        <f>SUM(H46:H48)</f>
        <v>87497627</v>
      </c>
      <c r="I45" s="9">
        <v>0</v>
      </c>
      <c r="J45" s="11">
        <f t="shared" si="29"/>
        <v>87497627</v>
      </c>
      <c r="K45" s="11">
        <v>0</v>
      </c>
      <c r="L45" s="11">
        <f>L46+L47+L48</f>
        <v>87497627</v>
      </c>
      <c r="M45" s="11">
        <f t="shared" ref="M45:N45" si="33">M46+M47+M48</f>
        <v>0</v>
      </c>
      <c r="N45" s="11">
        <f t="shared" si="33"/>
        <v>87497627</v>
      </c>
      <c r="O45" s="11">
        <f>O46+O47+O48</f>
        <v>86074389</v>
      </c>
      <c r="P45" s="133">
        <f t="shared" ref="P45:U45" si="34">SUM(P46:P48)</f>
        <v>88787408</v>
      </c>
      <c r="Q45" s="133">
        <f t="shared" si="34"/>
        <v>109447330</v>
      </c>
      <c r="R45" s="133">
        <f t="shared" si="34"/>
        <v>117375802</v>
      </c>
      <c r="S45" s="133">
        <f t="shared" si="34"/>
        <v>182928195</v>
      </c>
      <c r="T45" s="558">
        <f t="shared" si="34"/>
        <v>186269458</v>
      </c>
      <c r="U45" s="558">
        <f t="shared" si="34"/>
        <v>0</v>
      </c>
      <c r="V45" s="558">
        <f t="shared" ref="V45:Z45" si="35">SUM(V46:V48)</f>
        <v>186269458</v>
      </c>
      <c r="W45" s="570">
        <f t="shared" si="35"/>
        <v>-9282480</v>
      </c>
      <c r="X45" s="570">
        <f t="shared" si="35"/>
        <v>176986978</v>
      </c>
      <c r="Y45" s="570">
        <f t="shared" si="35"/>
        <v>-4037115</v>
      </c>
      <c r="Z45" s="570">
        <f t="shared" si="35"/>
        <v>172949863</v>
      </c>
    </row>
    <row r="46" spans="1:26" ht="15.75">
      <c r="A46" s="623">
        <v>42</v>
      </c>
      <c r="B46" s="160"/>
      <c r="C46" s="49"/>
      <c r="D46" s="8" t="s">
        <v>233</v>
      </c>
      <c r="E46" s="67"/>
      <c r="F46" s="51" t="s">
        <v>234</v>
      </c>
      <c r="G46" s="56">
        <v>56829000</v>
      </c>
      <c r="H46" s="56">
        <v>54701000</v>
      </c>
      <c r="I46" s="9">
        <v>0</v>
      </c>
      <c r="J46" s="9">
        <f t="shared" si="29"/>
        <v>54701000</v>
      </c>
      <c r="K46" s="9">
        <v>0</v>
      </c>
      <c r="L46" s="9">
        <f>J46</f>
        <v>54701000</v>
      </c>
      <c r="M46" s="3">
        <v>0</v>
      </c>
      <c r="N46" s="9">
        <f>L46+M46</f>
        <v>54701000</v>
      </c>
      <c r="O46" s="9">
        <v>63052000</v>
      </c>
      <c r="P46" s="9">
        <v>51630480</v>
      </c>
      <c r="Q46" s="9">
        <v>65455272</v>
      </c>
      <c r="R46" s="9">
        <v>69910767</v>
      </c>
      <c r="S46" s="9">
        <v>91767000</v>
      </c>
      <c r="T46" s="14">
        <v>99630360</v>
      </c>
      <c r="U46" s="14">
        <v>0</v>
      </c>
      <c r="V46" s="14">
        <f>SUM(T46:U46)</f>
        <v>99630360</v>
      </c>
      <c r="W46" s="565">
        <v>0</v>
      </c>
      <c r="X46" s="565">
        <f>SUM(V46:W46)</f>
        <v>99630360</v>
      </c>
      <c r="Y46" s="565">
        <v>-3688560</v>
      </c>
      <c r="Z46" s="565">
        <f>SUM(X46:Y46)</f>
        <v>95941800</v>
      </c>
    </row>
    <row r="47" spans="1:26" ht="15.75">
      <c r="A47" s="623">
        <v>43</v>
      </c>
      <c r="B47" s="160"/>
      <c r="C47" s="49"/>
      <c r="D47" s="8" t="s">
        <v>235</v>
      </c>
      <c r="E47" s="67"/>
      <c r="F47" s="51" t="s">
        <v>236</v>
      </c>
      <c r="G47" s="56">
        <v>28350915</v>
      </c>
      <c r="H47" s="56">
        <v>30210765</v>
      </c>
      <c r="I47" s="9">
        <v>0</v>
      </c>
      <c r="J47" s="9">
        <f t="shared" si="29"/>
        <v>30210765</v>
      </c>
      <c r="K47" s="9">
        <v>0</v>
      </c>
      <c r="L47" s="9">
        <f>J47</f>
        <v>30210765</v>
      </c>
      <c r="M47" s="3">
        <v>0</v>
      </c>
      <c r="N47" s="9">
        <f t="shared" ref="N47:N48" si="36">L47+M47</f>
        <v>30210765</v>
      </c>
      <c r="O47" s="9">
        <v>20852114</v>
      </c>
      <c r="P47" s="9">
        <v>35497658</v>
      </c>
      <c r="Q47" s="9">
        <v>42529153</v>
      </c>
      <c r="R47" s="9">
        <v>46110430</v>
      </c>
      <c r="S47" s="9">
        <v>89933130</v>
      </c>
      <c r="T47" s="14">
        <v>85423858</v>
      </c>
      <c r="U47" s="14">
        <v>0</v>
      </c>
      <c r="V47" s="14">
        <f t="shared" ref="V47:V49" si="37">SUM(T47:U47)</f>
        <v>85423858</v>
      </c>
      <c r="W47" s="565">
        <v>-9282480</v>
      </c>
      <c r="X47" s="565">
        <f t="shared" ref="X47:X49" si="38">SUM(V47:W47)</f>
        <v>76141378</v>
      </c>
      <c r="Y47" s="565">
        <v>0</v>
      </c>
      <c r="Z47" s="565">
        <f t="shared" ref="Z47:Z49" si="39">SUM(X47:Y47)</f>
        <v>76141378</v>
      </c>
    </row>
    <row r="48" spans="1:26" ht="15.75">
      <c r="A48" s="623">
        <v>44</v>
      </c>
      <c r="B48" s="160"/>
      <c r="C48" s="49"/>
      <c r="D48" s="8" t="s">
        <v>237</v>
      </c>
      <c r="E48" s="51" t="s">
        <v>238</v>
      </c>
      <c r="F48" s="51"/>
      <c r="G48" s="56">
        <v>3146400</v>
      </c>
      <c r="H48" s="56">
        <v>2585862</v>
      </c>
      <c r="I48" s="9">
        <v>0</v>
      </c>
      <c r="J48" s="9">
        <f t="shared" si="29"/>
        <v>2585862</v>
      </c>
      <c r="K48" s="9">
        <v>0</v>
      </c>
      <c r="L48" s="9">
        <f>J48</f>
        <v>2585862</v>
      </c>
      <c r="M48" s="3">
        <v>0</v>
      </c>
      <c r="N48" s="9">
        <f t="shared" si="36"/>
        <v>2585862</v>
      </c>
      <c r="O48" s="9">
        <v>2170275</v>
      </c>
      <c r="P48" s="9">
        <v>1659270</v>
      </c>
      <c r="Q48" s="9">
        <v>1462905</v>
      </c>
      <c r="R48" s="9">
        <v>1354605</v>
      </c>
      <c r="S48" s="9">
        <v>1228065</v>
      </c>
      <c r="T48" s="14">
        <v>1215240</v>
      </c>
      <c r="U48" s="14">
        <v>0</v>
      </c>
      <c r="V48" s="14">
        <f t="shared" si="37"/>
        <v>1215240</v>
      </c>
      <c r="W48" s="565">
        <v>0</v>
      </c>
      <c r="X48" s="565">
        <f t="shared" si="38"/>
        <v>1215240</v>
      </c>
      <c r="Y48" s="565">
        <v>-348555</v>
      </c>
      <c r="Z48" s="565">
        <f t="shared" si="39"/>
        <v>866685</v>
      </c>
    </row>
    <row r="49" spans="1:26" ht="14.1" customHeight="1">
      <c r="A49" s="623">
        <v>45</v>
      </c>
      <c r="B49" s="160"/>
      <c r="C49" s="49"/>
      <c r="D49" s="8"/>
      <c r="E49" s="141" t="s">
        <v>252</v>
      </c>
      <c r="F49" s="142"/>
      <c r="G49" s="56">
        <v>0</v>
      </c>
      <c r="H49" s="68">
        <v>0</v>
      </c>
      <c r="I49" s="9">
        <v>17081000</v>
      </c>
      <c r="J49" s="9">
        <v>17081000</v>
      </c>
      <c r="K49" s="9">
        <v>8609746</v>
      </c>
      <c r="L49" s="9">
        <f>K49+J49</f>
        <v>25690746</v>
      </c>
      <c r="M49" s="9">
        <v>5507000</v>
      </c>
      <c r="N49" s="9">
        <f>L49+M49</f>
        <v>31197746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14">
        <v>0</v>
      </c>
      <c r="U49" s="14">
        <v>24572903</v>
      </c>
      <c r="V49" s="14">
        <f t="shared" si="37"/>
        <v>24572903</v>
      </c>
      <c r="W49" s="565">
        <v>14613738</v>
      </c>
      <c r="X49" s="565">
        <f t="shared" si="38"/>
        <v>39186641</v>
      </c>
      <c r="Y49" s="565">
        <v>14092247</v>
      </c>
      <c r="Z49" s="565">
        <f t="shared" si="39"/>
        <v>53278888</v>
      </c>
    </row>
    <row r="50" spans="1:26" s="43" customFormat="1" ht="22.5" customHeight="1">
      <c r="A50" s="623">
        <v>46</v>
      </c>
      <c r="B50" s="160" t="s">
        <v>239</v>
      </c>
      <c r="C50" s="69">
        <v>942113</v>
      </c>
      <c r="D50" s="47" t="s">
        <v>240</v>
      </c>
      <c r="E50" s="701" t="s">
        <v>241</v>
      </c>
      <c r="F50" s="701"/>
      <c r="G50" s="47" t="e">
        <f>SUM(G41+G42+G45+#REF!)</f>
        <v>#REF!</v>
      </c>
      <c r="H50" s="47" t="e">
        <f>SUM(H41+H42+H45+#REF!)</f>
        <v>#REF!</v>
      </c>
      <c r="I50" s="70">
        <f>I49</f>
        <v>17081000</v>
      </c>
      <c r="J50" s="70" t="e">
        <f>H50+I50</f>
        <v>#REF!</v>
      </c>
      <c r="K50" s="11" t="e">
        <f>#REF!+#REF!+K49+#REF!</f>
        <v>#REF!</v>
      </c>
      <c r="L50" s="70" t="e">
        <f>L41+L42+L45+#REF!+#REF!+#REF!+L49+#REF!</f>
        <v>#REF!</v>
      </c>
      <c r="M50" s="70">
        <f>M49</f>
        <v>5507000</v>
      </c>
      <c r="N50" s="70" t="e">
        <f>N41+N42+N45+#REF!+#REF!+N49+#REF!</f>
        <v>#REF!</v>
      </c>
      <c r="O50" s="70">
        <f>O41+O42+O45</f>
        <v>331320969</v>
      </c>
      <c r="P50" s="134">
        <f>SUM(P41,P42,P45,P49:P49)</f>
        <v>377611128</v>
      </c>
      <c r="Q50" s="134">
        <f>SUM(Q41,Q42,Q45,Q49:Q49)</f>
        <v>466726501</v>
      </c>
      <c r="R50" s="134">
        <f>SUM(R41,R42,R45,R49:R49)</f>
        <v>494185903</v>
      </c>
      <c r="S50" s="134">
        <f>SUM(S41,S42,S45,S49:S49)</f>
        <v>621794515</v>
      </c>
      <c r="T50" s="190">
        <f>SUM(T41,T42,T45,T49:T49)</f>
        <v>715666756</v>
      </c>
      <c r="U50" s="190">
        <f t="shared" ref="U50:Z50" si="40">SUM(U41,U42,U45,U49:U49)</f>
        <v>47384223</v>
      </c>
      <c r="V50" s="190">
        <f t="shared" si="40"/>
        <v>763050979</v>
      </c>
      <c r="W50" s="639">
        <f t="shared" si="40"/>
        <v>5331258</v>
      </c>
      <c r="X50" s="639">
        <f t="shared" si="40"/>
        <v>768382237</v>
      </c>
      <c r="Y50" s="639">
        <f t="shared" si="40"/>
        <v>7001112</v>
      </c>
      <c r="Z50" s="639">
        <f t="shared" si="40"/>
        <v>775383349</v>
      </c>
    </row>
    <row r="51" spans="1:26" s="43" customFormat="1" ht="15.75">
      <c r="A51" s="623">
        <v>47</v>
      </c>
      <c r="B51" s="160" t="s">
        <v>242</v>
      </c>
      <c r="C51" s="69">
        <v>9421141</v>
      </c>
      <c r="D51" s="47" t="s">
        <v>243</v>
      </c>
      <c r="E51" s="701" t="s">
        <v>244</v>
      </c>
      <c r="F51" s="701"/>
      <c r="G51" s="47">
        <f>G52+G53</f>
        <v>44942020</v>
      </c>
      <c r="H51" s="47">
        <f>SUM(H52:H53)</f>
        <v>44865780</v>
      </c>
      <c r="I51" s="47">
        <v>2379000</v>
      </c>
      <c r="J51" s="70" t="e">
        <f>J52+J53+#REF!</f>
        <v>#REF!</v>
      </c>
      <c r="K51" s="70" t="e">
        <f>K52+K53+#REF!+#REF!</f>
        <v>#REF!</v>
      </c>
      <c r="L51" s="70" t="e">
        <f>L52+L53+#REF!+#REF!</f>
        <v>#REF!</v>
      </c>
      <c r="M51" s="70" t="e">
        <f>M52+#REF!</f>
        <v>#REF!</v>
      </c>
      <c r="N51" s="70" t="e">
        <f>N52+N53+#REF!+#REF!</f>
        <v>#REF!</v>
      </c>
      <c r="O51" s="70">
        <f>O52+O53</f>
        <v>29225862</v>
      </c>
      <c r="P51" s="134">
        <f>SUM(P52:P53)</f>
        <v>50541470</v>
      </c>
      <c r="Q51" s="134">
        <f>SUM(Q52:Q54)</f>
        <v>68537589</v>
      </c>
      <c r="R51" s="134">
        <f>SUM(R52:R54)</f>
        <v>84562006</v>
      </c>
      <c r="S51" s="134">
        <f>SUM(S52:S54)</f>
        <v>84768316</v>
      </c>
      <c r="T51" s="190">
        <f>SUM(T52:T54)</f>
        <v>84547016</v>
      </c>
      <c r="U51" s="190">
        <f t="shared" ref="U51:Z51" si="41">SUM(U52:U54)</f>
        <v>0</v>
      </c>
      <c r="V51" s="190">
        <f t="shared" si="41"/>
        <v>84547016</v>
      </c>
      <c r="W51" s="639">
        <f t="shared" si="41"/>
        <v>0</v>
      </c>
      <c r="X51" s="639">
        <f t="shared" si="41"/>
        <v>84547016</v>
      </c>
      <c r="Y51" s="639">
        <f t="shared" si="41"/>
        <v>0</v>
      </c>
      <c r="Z51" s="639">
        <f t="shared" si="41"/>
        <v>84547016</v>
      </c>
    </row>
    <row r="52" spans="1:26" ht="15.75">
      <c r="A52" s="623">
        <v>48</v>
      </c>
      <c r="B52" s="160"/>
      <c r="C52" s="66">
        <v>94211411</v>
      </c>
      <c r="D52" s="49" t="s">
        <v>245</v>
      </c>
      <c r="E52" s="702" t="s">
        <v>246</v>
      </c>
      <c r="F52" s="702"/>
      <c r="G52" s="10">
        <v>28510020</v>
      </c>
      <c r="H52" s="10">
        <v>28433780</v>
      </c>
      <c r="I52" s="9">
        <v>0</v>
      </c>
      <c r="J52" s="9">
        <f>H52</f>
        <v>28433780</v>
      </c>
      <c r="K52" s="9">
        <v>0</v>
      </c>
      <c r="L52" s="9">
        <f>J52</f>
        <v>28433780</v>
      </c>
      <c r="M52" s="9">
        <v>1803000</v>
      </c>
      <c r="N52" s="9">
        <f>L52+M52</f>
        <v>30236780</v>
      </c>
      <c r="O52" s="9">
        <v>29225862</v>
      </c>
      <c r="P52" s="9">
        <v>50541470</v>
      </c>
      <c r="Q52" s="9">
        <v>51237589</v>
      </c>
      <c r="R52" s="9">
        <v>50668848</v>
      </c>
      <c r="S52" s="9">
        <v>50381158</v>
      </c>
      <c r="T52" s="14">
        <v>50159858</v>
      </c>
      <c r="U52" s="14">
        <v>0</v>
      </c>
      <c r="V52" s="14">
        <f>SUM(T52:U52)</f>
        <v>50159858</v>
      </c>
      <c r="W52" s="565">
        <v>0</v>
      </c>
      <c r="X52" s="565">
        <f>SUM(V52:W52)</f>
        <v>50159858</v>
      </c>
      <c r="Y52" s="565">
        <v>0</v>
      </c>
      <c r="Z52" s="565">
        <f>SUM(X52:Y52)</f>
        <v>50159858</v>
      </c>
    </row>
    <row r="53" spans="1:26" ht="15.75">
      <c r="A53" s="623">
        <v>49</v>
      </c>
      <c r="B53" s="160"/>
      <c r="C53" s="49">
        <v>94211412</v>
      </c>
      <c r="D53" s="49" t="s">
        <v>247</v>
      </c>
      <c r="E53" s="702" t="s">
        <v>248</v>
      </c>
      <c r="F53" s="702"/>
      <c r="G53" s="10">
        <v>16432000</v>
      </c>
      <c r="H53" s="10">
        <v>16432000</v>
      </c>
      <c r="I53" s="9">
        <v>0</v>
      </c>
      <c r="J53" s="9">
        <f>H53</f>
        <v>16432000</v>
      </c>
      <c r="K53" s="9">
        <v>0</v>
      </c>
      <c r="L53" s="9">
        <f>J53</f>
        <v>16432000</v>
      </c>
      <c r="M53" s="9">
        <v>0</v>
      </c>
      <c r="N53" s="9">
        <f>L53+M53</f>
        <v>16432000</v>
      </c>
      <c r="O53" s="9">
        <v>0</v>
      </c>
      <c r="P53" s="9">
        <v>0</v>
      </c>
      <c r="Q53" s="9">
        <v>17300000</v>
      </c>
      <c r="R53" s="9">
        <v>17300000</v>
      </c>
      <c r="S53" s="9">
        <v>17300000</v>
      </c>
      <c r="T53" s="14">
        <v>17300000</v>
      </c>
      <c r="U53" s="14">
        <v>0</v>
      </c>
      <c r="V53" s="14">
        <f t="shared" ref="V53:V54" si="42">SUM(T53:U53)</f>
        <v>17300000</v>
      </c>
      <c r="W53" s="565">
        <v>0</v>
      </c>
      <c r="X53" s="565">
        <f t="shared" ref="X53:X54" si="43">SUM(V53:W53)</f>
        <v>17300000</v>
      </c>
      <c r="Y53" s="565">
        <v>0</v>
      </c>
      <c r="Z53" s="565">
        <f t="shared" ref="Z53:Z54" si="44">SUM(X53:Y53)</f>
        <v>17300000</v>
      </c>
    </row>
    <row r="54" spans="1:26" ht="15.75">
      <c r="A54" s="623">
        <v>50</v>
      </c>
      <c r="B54" s="160"/>
      <c r="C54" s="302"/>
      <c r="D54" s="49"/>
      <c r="E54" s="706" t="s">
        <v>491</v>
      </c>
      <c r="F54" s="707"/>
      <c r="G54" s="10"/>
      <c r="H54" s="10"/>
      <c r="I54" s="9"/>
      <c r="J54" s="9"/>
      <c r="K54" s="9"/>
      <c r="L54" s="9"/>
      <c r="M54" s="9"/>
      <c r="N54" s="9"/>
      <c r="O54" s="9"/>
      <c r="P54" s="9"/>
      <c r="Q54" s="9">
        <v>0</v>
      </c>
      <c r="R54" s="9">
        <v>16593158</v>
      </c>
      <c r="S54" s="9">
        <v>17087158</v>
      </c>
      <c r="T54" s="14">
        <v>17087158</v>
      </c>
      <c r="U54" s="14">
        <v>0</v>
      </c>
      <c r="V54" s="14">
        <f t="shared" si="42"/>
        <v>17087158</v>
      </c>
      <c r="W54" s="565">
        <v>0</v>
      </c>
      <c r="X54" s="565">
        <f t="shared" si="43"/>
        <v>17087158</v>
      </c>
      <c r="Y54" s="565">
        <v>0</v>
      </c>
      <c r="Z54" s="565">
        <f t="shared" si="44"/>
        <v>17087158</v>
      </c>
    </row>
    <row r="55" spans="1:26" ht="15.75">
      <c r="A55" s="623">
        <v>51</v>
      </c>
      <c r="B55" s="160" t="s">
        <v>249</v>
      </c>
      <c r="C55" s="143">
        <v>94212</v>
      </c>
      <c r="D55" s="708" t="s">
        <v>250</v>
      </c>
      <c r="E55" s="708"/>
      <c r="F55" s="708"/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f t="shared" ref="N55:N56" si="45">L55+M55</f>
        <v>0</v>
      </c>
      <c r="O55" s="9">
        <v>0</v>
      </c>
      <c r="P55" s="157">
        <v>230000000</v>
      </c>
      <c r="Q55" s="157">
        <f>SUM(Q56:Q57)</f>
        <v>0</v>
      </c>
      <c r="R55" s="157">
        <f>SUM(R56:R57)</f>
        <v>50000000</v>
      </c>
      <c r="S55" s="157">
        <f>S56</f>
        <v>0</v>
      </c>
      <c r="T55" s="559">
        <f>T56</f>
        <v>4633169</v>
      </c>
      <c r="U55" s="559">
        <f t="shared" ref="U55:Z55" si="46">U56</f>
        <v>0</v>
      </c>
      <c r="V55" s="559">
        <f t="shared" si="46"/>
        <v>4633169</v>
      </c>
      <c r="W55" s="640">
        <f t="shared" si="46"/>
        <v>-4633169</v>
      </c>
      <c r="X55" s="640">
        <f t="shared" si="46"/>
        <v>0</v>
      </c>
      <c r="Y55" s="640">
        <f t="shared" si="46"/>
        <v>0</v>
      </c>
      <c r="Z55" s="640">
        <f t="shared" si="46"/>
        <v>0</v>
      </c>
    </row>
    <row r="56" spans="1:26" ht="15.75">
      <c r="A56" s="623">
        <v>52</v>
      </c>
      <c r="B56" s="160"/>
      <c r="C56" s="71"/>
      <c r="D56" s="10" t="s">
        <v>251</v>
      </c>
      <c r="E56" s="692" t="s">
        <v>558</v>
      </c>
      <c r="F56" s="686"/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f t="shared" si="45"/>
        <v>0</v>
      </c>
      <c r="O56" s="9">
        <v>0</v>
      </c>
      <c r="P56" s="9">
        <v>230000000</v>
      </c>
      <c r="Q56" s="9">
        <v>0</v>
      </c>
      <c r="R56" s="9">
        <v>50000000</v>
      </c>
      <c r="S56" s="9">
        <v>0</v>
      </c>
      <c r="T56" s="14">
        <v>4633169</v>
      </c>
      <c r="U56" s="14">
        <v>0</v>
      </c>
      <c r="V56" s="14">
        <f>SUM(T56:U56)</f>
        <v>4633169</v>
      </c>
      <c r="W56" s="565">
        <v>-4633169</v>
      </c>
      <c r="X56" s="565">
        <f>SUM(V56:W56)</f>
        <v>0</v>
      </c>
      <c r="Y56" s="565">
        <v>0</v>
      </c>
      <c r="Z56" s="565">
        <f>SUM(X56:Y56)</f>
        <v>0</v>
      </c>
    </row>
    <row r="57" spans="1:26" ht="15.75">
      <c r="A57" s="623">
        <v>53</v>
      </c>
      <c r="B57" s="160" t="s">
        <v>462</v>
      </c>
      <c r="C57" s="58">
        <v>942122</v>
      </c>
      <c r="D57" s="700" t="s">
        <v>463</v>
      </c>
      <c r="E57" s="700"/>
      <c r="F57" s="700"/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6">
        <v>0</v>
      </c>
      <c r="N57" s="9">
        <f>L57+M57</f>
        <v>0</v>
      </c>
      <c r="O57" s="9">
        <v>0</v>
      </c>
      <c r="P57" s="9">
        <v>0</v>
      </c>
      <c r="Q57" s="9">
        <v>0</v>
      </c>
      <c r="R57" s="157">
        <v>0</v>
      </c>
      <c r="S57" s="157">
        <v>3699200</v>
      </c>
      <c r="T57" s="559">
        <v>327383</v>
      </c>
      <c r="U57" s="559">
        <v>0</v>
      </c>
      <c r="V57" s="559">
        <v>327383</v>
      </c>
      <c r="W57" s="640">
        <v>0</v>
      </c>
      <c r="X57" s="640">
        <v>327383</v>
      </c>
      <c r="Y57" s="640">
        <v>0</v>
      </c>
      <c r="Z57" s="640">
        <v>327383</v>
      </c>
    </row>
    <row r="58" spans="1:26" ht="15.75">
      <c r="A58" s="623">
        <v>54</v>
      </c>
      <c r="B58" s="49"/>
      <c r="C58" s="49"/>
      <c r="D58" s="49"/>
      <c r="E58" s="49" t="s">
        <v>253</v>
      </c>
      <c r="F58" s="49"/>
      <c r="G58" s="72" t="e">
        <f>G51+G50+G26+G6</f>
        <v>#REF!</v>
      </c>
      <c r="H58" s="72" t="e">
        <f>H51+H50+H26+H6</f>
        <v>#REF!</v>
      </c>
      <c r="I58" s="72" t="e">
        <f>I51+I50+I6</f>
        <v>#REF!</v>
      </c>
      <c r="J58" s="72" t="e">
        <f>J6+J26+J50+J51</f>
        <v>#REF!</v>
      </c>
      <c r="K58" s="11" t="e">
        <f>K51+K50+K26+K6</f>
        <v>#REF!</v>
      </c>
      <c r="L58" s="11" t="e">
        <f>L6+L26+L50+L51</f>
        <v>#REF!</v>
      </c>
      <c r="M58" s="11" t="e">
        <f>M51+M50+M26+M6</f>
        <v>#REF!</v>
      </c>
      <c r="N58" s="11" t="e">
        <f>N51+N50+N26+N6</f>
        <v>#REF!</v>
      </c>
      <c r="O58" s="11" t="e">
        <f>O6+O26+O50+O51</f>
        <v>#REF!</v>
      </c>
      <c r="P58" s="111" t="e">
        <f>P51+P50+P26+P6+#REF!+P55</f>
        <v>#REF!</v>
      </c>
      <c r="Q58" s="111">
        <f>Q51+Q50+Q26+Q6+Q55</f>
        <v>1428691246</v>
      </c>
      <c r="R58" s="111">
        <f>R51+R50+R26+R6+R55+R57</f>
        <v>1569819610</v>
      </c>
      <c r="S58" s="111">
        <f>S51+S50+S26+S6+S55+S57</f>
        <v>1843834136</v>
      </c>
      <c r="T58" s="180">
        <f>T51+T50+T26+T6+T55+T57</f>
        <v>2192726609</v>
      </c>
      <c r="U58" s="180">
        <f>U51+U50+U26+U6+U55+U57</f>
        <v>13660927</v>
      </c>
      <c r="V58" s="180">
        <f t="shared" ref="V58:X58" si="47">V51+V50+V26+V6+V55+V57</f>
        <v>2206387536</v>
      </c>
      <c r="W58" s="122">
        <f>W51+W50+W26+W6+W55+W57</f>
        <v>43148805</v>
      </c>
      <c r="X58" s="122">
        <f t="shared" si="47"/>
        <v>2249536341</v>
      </c>
      <c r="Y58" s="122">
        <f>Y51+Y50+Y26+Y6+Y55+Y57</f>
        <v>15204640</v>
      </c>
      <c r="Z58" s="122">
        <f t="shared" ref="Z58" si="48">Z51+Z50+Z26+Z6+Z55+Z57</f>
        <v>2264740981</v>
      </c>
    </row>
    <row r="59" spans="1:26" s="43" customFormat="1" ht="21.75" customHeight="1">
      <c r="A59" s="623">
        <v>55</v>
      </c>
      <c r="B59" s="73"/>
      <c r="C59" s="74"/>
      <c r="D59" s="74"/>
      <c r="E59" s="74" t="s">
        <v>173</v>
      </c>
      <c r="F59" s="74"/>
      <c r="G59" s="47" t="e">
        <f t="shared" ref="G59:Z59" si="49">G58</f>
        <v>#REF!</v>
      </c>
      <c r="H59" s="72" t="e">
        <f t="shared" si="49"/>
        <v>#REF!</v>
      </c>
      <c r="I59" s="72" t="e">
        <f t="shared" si="49"/>
        <v>#REF!</v>
      </c>
      <c r="J59" s="70" t="e">
        <f t="shared" si="49"/>
        <v>#REF!</v>
      </c>
      <c r="K59" s="70" t="e">
        <f t="shared" si="49"/>
        <v>#REF!</v>
      </c>
      <c r="L59" s="70" t="e">
        <f t="shared" si="49"/>
        <v>#REF!</v>
      </c>
      <c r="M59" s="70" t="e">
        <f t="shared" si="49"/>
        <v>#REF!</v>
      </c>
      <c r="N59" s="70" t="e">
        <f t="shared" si="49"/>
        <v>#REF!</v>
      </c>
      <c r="O59" s="70" t="e">
        <f t="shared" si="49"/>
        <v>#REF!</v>
      </c>
      <c r="P59" s="134" t="e">
        <f t="shared" si="49"/>
        <v>#REF!</v>
      </c>
      <c r="Q59" s="134">
        <f>Q58</f>
        <v>1428691246</v>
      </c>
      <c r="R59" s="134">
        <f t="shared" ref="R59" si="50">R58</f>
        <v>1569819610</v>
      </c>
      <c r="S59" s="134">
        <f t="shared" si="49"/>
        <v>1843834136</v>
      </c>
      <c r="T59" s="190">
        <f t="shared" si="49"/>
        <v>2192726609</v>
      </c>
      <c r="U59" s="190">
        <f t="shared" si="49"/>
        <v>13660927</v>
      </c>
      <c r="V59" s="190">
        <f t="shared" si="49"/>
        <v>2206387536</v>
      </c>
      <c r="W59" s="639">
        <f t="shared" si="49"/>
        <v>43148805</v>
      </c>
      <c r="X59" s="639">
        <f t="shared" si="49"/>
        <v>2249536341</v>
      </c>
      <c r="Y59" s="639">
        <f t="shared" si="49"/>
        <v>15204640</v>
      </c>
      <c r="Z59" s="639">
        <f t="shared" si="49"/>
        <v>2264740981</v>
      </c>
    </row>
    <row r="60" spans="1:26" ht="40.5" hidden="1" customHeight="1">
      <c r="A60" s="622"/>
      <c r="B60" s="685"/>
      <c r="C60" s="685"/>
      <c r="D60" s="685"/>
      <c r="E60" s="685"/>
      <c r="F60" s="685"/>
      <c r="G60" s="685"/>
      <c r="H60" s="685"/>
      <c r="I60" s="685"/>
      <c r="J60" s="685"/>
      <c r="K60" s="685"/>
      <c r="L60" s="685"/>
    </row>
    <row r="61" spans="1:26">
      <c r="A61" s="812" t="s">
        <v>642</v>
      </c>
      <c r="B61" s="812"/>
      <c r="C61" s="812"/>
      <c r="D61" s="812"/>
      <c r="E61" s="812"/>
      <c r="F61" s="812"/>
      <c r="G61" s="812"/>
      <c r="H61" s="812"/>
      <c r="I61" s="812"/>
      <c r="J61" s="812"/>
      <c r="K61" s="812"/>
      <c r="L61" s="812"/>
      <c r="M61" s="812"/>
      <c r="N61" s="812"/>
      <c r="O61" s="812"/>
      <c r="P61" s="812"/>
      <c r="Q61" s="812"/>
      <c r="R61" s="812"/>
      <c r="S61" s="812"/>
      <c r="T61" s="812"/>
      <c r="U61" s="812"/>
      <c r="V61" s="812"/>
      <c r="W61" s="812"/>
      <c r="X61" s="812"/>
      <c r="Y61" s="812"/>
      <c r="Z61" s="812"/>
    </row>
    <row r="62" spans="1:26">
      <c r="A62" s="812"/>
      <c r="B62" s="812"/>
      <c r="C62" s="812"/>
      <c r="D62" s="812"/>
      <c r="E62" s="812"/>
      <c r="F62" s="812"/>
      <c r="G62" s="812"/>
      <c r="H62" s="812"/>
      <c r="I62" s="812"/>
      <c r="J62" s="812"/>
      <c r="K62" s="812"/>
      <c r="L62" s="812"/>
      <c r="M62" s="812"/>
      <c r="N62" s="812"/>
      <c r="O62" s="812"/>
      <c r="P62" s="812"/>
      <c r="Q62" s="812"/>
      <c r="R62" s="812"/>
      <c r="S62" s="812"/>
      <c r="T62" s="812"/>
      <c r="U62" s="812"/>
      <c r="V62" s="812"/>
      <c r="W62" s="812"/>
      <c r="X62" s="812"/>
      <c r="Y62" s="812"/>
      <c r="Z62" s="812"/>
    </row>
    <row r="64" spans="1:26">
      <c r="K64" s="41"/>
    </row>
  </sheetData>
  <mergeCells count="41">
    <mergeCell ref="E54:F54"/>
    <mergeCell ref="D55:F55"/>
    <mergeCell ref="E56:F56"/>
    <mergeCell ref="D57:F57"/>
    <mergeCell ref="B60:L60"/>
    <mergeCell ref="A61:Z62"/>
    <mergeCell ref="E44:F44"/>
    <mergeCell ref="E45:F45"/>
    <mergeCell ref="E50:F50"/>
    <mergeCell ref="E51:F51"/>
    <mergeCell ref="E52:F52"/>
    <mergeCell ref="E53:F53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2:F22"/>
    <mergeCell ref="E26:F26"/>
    <mergeCell ref="E28:F28"/>
    <mergeCell ref="E29:F29"/>
    <mergeCell ref="E30:F30"/>
    <mergeCell ref="E31:F31"/>
    <mergeCell ref="E8:F8"/>
    <mergeCell ref="E9:F9"/>
    <mergeCell ref="E10:F10"/>
    <mergeCell ref="E11:F11"/>
    <mergeCell ref="E12:F12"/>
    <mergeCell ref="E16:F16"/>
    <mergeCell ref="A1:Z1"/>
    <mergeCell ref="A2:Z2"/>
    <mergeCell ref="E5:F5"/>
    <mergeCell ref="E6:F6"/>
    <mergeCell ref="E7:F7"/>
  </mergeCells>
  <pageMargins left="0.7" right="0.7" top="0.75" bottom="0.75" header="0.3" footer="0.3"/>
  <pageSetup paperSize="9" scale="42" orientation="portrait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5C9D-F357-4D1E-9240-83AD2C8BF4AE}">
  <dimension ref="A1:Y46"/>
  <sheetViews>
    <sheetView view="pageBreakPreview" zoomScale="60" zoomScaleNormal="100" workbookViewId="0">
      <selection activeCell="A36" sqref="A36:Y37"/>
    </sheetView>
  </sheetViews>
  <sheetFormatPr defaultColWidth="9.140625" defaultRowHeight="15"/>
  <cols>
    <col min="1" max="1" width="9.140625" style="163"/>
    <col min="2" max="2" width="6.85546875" style="164" customWidth="1"/>
    <col min="3" max="3" width="12.140625" style="163" hidden="1" customWidth="1"/>
    <col min="4" max="4" width="65.42578125" style="163" customWidth="1"/>
    <col min="5" max="5" width="15.42578125" style="163" hidden="1" customWidth="1"/>
    <col min="6" max="6" width="18.42578125" style="163" hidden="1" customWidth="1"/>
    <col min="7" max="7" width="16.42578125" style="163" hidden="1" customWidth="1"/>
    <col min="8" max="8" width="13.85546875" style="166" hidden="1" customWidth="1"/>
    <col min="9" max="9" width="15.140625" style="163" hidden="1" customWidth="1"/>
    <col min="10" max="10" width="3.42578125" style="163" hidden="1" customWidth="1"/>
    <col min="11" max="11" width="16.42578125" style="165" hidden="1" customWidth="1"/>
    <col min="12" max="12" width="13" style="163" hidden="1" customWidth="1"/>
    <col min="13" max="13" width="16.42578125" style="165" hidden="1" customWidth="1"/>
    <col min="14" max="14" width="18" style="163" hidden="1" customWidth="1"/>
    <col min="15" max="17" width="20" style="163" hidden="1" customWidth="1"/>
    <col min="18" max="19" width="20" style="163" customWidth="1"/>
    <col min="20" max="20" width="15.7109375" style="163" hidden="1" customWidth="1"/>
    <col min="21" max="21" width="15.42578125" style="163" customWidth="1"/>
    <col min="22" max="22" width="15.7109375" style="622" hidden="1" customWidth="1"/>
    <col min="23" max="23" width="15.42578125" style="622" customWidth="1"/>
    <col min="24" max="24" width="15.7109375" style="622" customWidth="1"/>
    <col min="25" max="25" width="15.42578125" style="622" customWidth="1"/>
    <col min="26" max="16384" width="9.140625" style="163"/>
  </cols>
  <sheetData>
    <row r="1" spans="1:25" s="633" customFormat="1">
      <c r="A1" s="687" t="s">
        <v>643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</row>
    <row r="2" spans="1:25" ht="34.35" customHeight="1">
      <c r="A2" s="709" t="s">
        <v>543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</row>
    <row r="3" spans="1:25">
      <c r="B3" s="167"/>
      <c r="C3" s="167"/>
      <c r="D3" s="167"/>
    </row>
    <row r="4" spans="1:25" ht="14.25" customHeight="1">
      <c r="R4" s="165"/>
      <c r="S4" s="165"/>
      <c r="T4" s="165"/>
      <c r="U4" s="165"/>
      <c r="V4" s="641"/>
      <c r="W4" s="641"/>
      <c r="X4" s="641"/>
      <c r="Y4" s="641" t="s">
        <v>56</v>
      </c>
    </row>
    <row r="5" spans="1:25" s="622" customFormat="1" ht="14.25" customHeight="1">
      <c r="A5" s="569"/>
      <c r="B5" s="642" t="s">
        <v>414</v>
      </c>
      <c r="C5" s="643"/>
      <c r="D5" s="643" t="s">
        <v>415</v>
      </c>
      <c r="E5" s="643"/>
      <c r="F5" s="643"/>
      <c r="G5" s="643"/>
      <c r="H5" s="644"/>
      <c r="I5" s="643"/>
      <c r="J5" s="643"/>
      <c r="K5" s="643"/>
      <c r="L5" s="643"/>
      <c r="M5" s="643"/>
      <c r="N5" s="643" t="s">
        <v>416</v>
      </c>
      <c r="O5" s="643" t="s">
        <v>416</v>
      </c>
      <c r="P5" s="643" t="s">
        <v>416</v>
      </c>
      <c r="Q5" s="643" t="s">
        <v>417</v>
      </c>
      <c r="R5" s="643" t="s">
        <v>416</v>
      </c>
      <c r="S5" s="643" t="s">
        <v>417</v>
      </c>
      <c r="T5" s="643" t="s">
        <v>461</v>
      </c>
      <c r="U5" s="643" t="s">
        <v>461</v>
      </c>
      <c r="V5" s="643" t="s">
        <v>419</v>
      </c>
      <c r="W5" s="643" t="s">
        <v>419</v>
      </c>
      <c r="X5" s="643" t="s">
        <v>424</v>
      </c>
      <c r="Y5" s="643" t="s">
        <v>425</v>
      </c>
    </row>
    <row r="6" spans="1:25" s="168" customFormat="1" ht="14.25" customHeight="1">
      <c r="A6" s="710">
        <v>1</v>
      </c>
      <c r="B6" s="713" t="s">
        <v>57</v>
      </c>
      <c r="C6" s="714" t="s">
        <v>55</v>
      </c>
      <c r="D6" s="714"/>
      <c r="E6" s="715" t="s">
        <v>104</v>
      </c>
      <c r="F6" s="718" t="s">
        <v>113</v>
      </c>
      <c r="G6" s="715" t="s">
        <v>109</v>
      </c>
      <c r="H6" s="715" t="s">
        <v>111</v>
      </c>
      <c r="I6" s="715" t="s">
        <v>254</v>
      </c>
      <c r="J6" s="715" t="s">
        <v>111</v>
      </c>
      <c r="K6" s="715" t="s">
        <v>255</v>
      </c>
      <c r="L6" s="715" t="s">
        <v>111</v>
      </c>
      <c r="M6" s="727" t="s">
        <v>260</v>
      </c>
      <c r="N6" s="715" t="s">
        <v>457</v>
      </c>
      <c r="O6" s="715" t="s">
        <v>460</v>
      </c>
      <c r="P6" s="715" t="s">
        <v>484</v>
      </c>
      <c r="Q6" s="715" t="s">
        <v>501</v>
      </c>
      <c r="R6" s="715" t="s">
        <v>542</v>
      </c>
      <c r="S6" s="721" t="s">
        <v>581</v>
      </c>
      <c r="T6" s="721" t="s">
        <v>111</v>
      </c>
      <c r="U6" s="721" t="s">
        <v>609</v>
      </c>
      <c r="V6" s="724" t="s">
        <v>111</v>
      </c>
      <c r="W6" s="724" t="s">
        <v>637</v>
      </c>
      <c r="X6" s="724" t="s">
        <v>111</v>
      </c>
      <c r="Y6" s="724" t="s">
        <v>582</v>
      </c>
    </row>
    <row r="7" spans="1:25" s="168" customFormat="1" ht="14.25" customHeight="1">
      <c r="A7" s="711"/>
      <c r="B7" s="713"/>
      <c r="C7" s="714"/>
      <c r="D7" s="714"/>
      <c r="E7" s="716"/>
      <c r="F7" s="719"/>
      <c r="G7" s="716"/>
      <c r="H7" s="716"/>
      <c r="I7" s="716"/>
      <c r="J7" s="716"/>
      <c r="K7" s="716"/>
      <c r="L7" s="716"/>
      <c r="M7" s="728"/>
      <c r="N7" s="716"/>
      <c r="O7" s="716"/>
      <c r="P7" s="716"/>
      <c r="Q7" s="716"/>
      <c r="R7" s="716"/>
      <c r="S7" s="722"/>
      <c r="T7" s="722"/>
      <c r="U7" s="722"/>
      <c r="V7" s="725"/>
      <c r="W7" s="725"/>
      <c r="X7" s="725"/>
      <c r="Y7" s="725"/>
    </row>
    <row r="8" spans="1:25" s="168" customFormat="1" ht="60" customHeight="1">
      <c r="A8" s="712"/>
      <c r="B8" s="713"/>
      <c r="C8" s="714"/>
      <c r="D8" s="714"/>
      <c r="E8" s="717"/>
      <c r="F8" s="720"/>
      <c r="G8" s="717"/>
      <c r="H8" s="717"/>
      <c r="I8" s="717"/>
      <c r="J8" s="717"/>
      <c r="K8" s="717"/>
      <c r="L8" s="717"/>
      <c r="M8" s="729"/>
      <c r="N8" s="717"/>
      <c r="O8" s="717"/>
      <c r="P8" s="717"/>
      <c r="Q8" s="717"/>
      <c r="R8" s="717"/>
      <c r="S8" s="723"/>
      <c r="T8" s="723"/>
      <c r="U8" s="723"/>
      <c r="V8" s="726"/>
      <c r="W8" s="726"/>
      <c r="X8" s="726"/>
      <c r="Y8" s="726"/>
    </row>
    <row r="9" spans="1:25" ht="14.25" hidden="1" customHeight="1">
      <c r="A9" s="13"/>
      <c r="B9" s="169">
        <v>1</v>
      </c>
      <c r="C9" s="170"/>
      <c r="D9" s="171"/>
      <c r="E9" s="172"/>
      <c r="F9" s="173"/>
      <c r="G9" s="13"/>
      <c r="H9" s="14"/>
      <c r="I9" s="13"/>
      <c r="N9" s="13"/>
      <c r="O9" s="13"/>
      <c r="P9" s="13"/>
      <c r="Q9" s="13"/>
      <c r="R9" s="13"/>
      <c r="S9" s="13"/>
      <c r="T9" s="13"/>
      <c r="U9" s="13"/>
      <c r="V9" s="569"/>
      <c r="W9" s="569"/>
      <c r="X9" s="569"/>
      <c r="Y9" s="569"/>
    </row>
    <row r="10" spans="1:25" ht="14.25" hidden="1" customHeight="1">
      <c r="A10" s="13"/>
      <c r="B10" s="174">
        <v>2</v>
      </c>
      <c r="C10" s="13"/>
      <c r="D10" s="54"/>
      <c r="E10" s="172"/>
      <c r="F10" s="172"/>
      <c r="G10" s="13"/>
      <c r="H10" s="14"/>
      <c r="I10" s="13"/>
      <c r="N10" s="13"/>
      <c r="O10" s="13"/>
      <c r="P10" s="13"/>
      <c r="Q10" s="13"/>
      <c r="R10" s="13"/>
      <c r="S10" s="13"/>
      <c r="T10" s="13"/>
      <c r="U10" s="13"/>
      <c r="V10" s="569"/>
      <c r="W10" s="569"/>
      <c r="X10" s="569"/>
      <c r="Y10" s="569"/>
    </row>
    <row r="11" spans="1:25" ht="14.25" hidden="1" customHeight="1">
      <c r="A11" s="13"/>
      <c r="B11" s="169">
        <v>3</v>
      </c>
      <c r="C11" s="13"/>
      <c r="D11" s="54"/>
      <c r="E11" s="172"/>
      <c r="F11" s="172"/>
      <c r="G11" s="13"/>
      <c r="H11" s="14"/>
      <c r="I11" s="13"/>
      <c r="N11" s="13"/>
      <c r="O11" s="13"/>
      <c r="P11" s="13"/>
      <c r="Q11" s="13"/>
      <c r="R11" s="13"/>
      <c r="S11" s="13"/>
      <c r="T11" s="13"/>
      <c r="U11" s="13"/>
      <c r="V11" s="569"/>
      <c r="W11" s="569"/>
      <c r="X11" s="569"/>
      <c r="Y11" s="569"/>
    </row>
    <row r="12" spans="1:25" ht="14.25" hidden="1" customHeight="1">
      <c r="A12" s="13"/>
      <c r="B12" s="174">
        <v>4</v>
      </c>
      <c r="C12" s="13"/>
      <c r="D12" s="175"/>
      <c r="E12" s="172"/>
      <c r="F12" s="172"/>
      <c r="G12" s="13"/>
      <c r="H12" s="14"/>
      <c r="I12" s="13"/>
      <c r="N12" s="13"/>
      <c r="O12" s="13"/>
      <c r="P12" s="13"/>
      <c r="Q12" s="13"/>
      <c r="R12" s="13"/>
      <c r="S12" s="13"/>
      <c r="T12" s="13"/>
      <c r="U12" s="13"/>
      <c r="V12" s="569"/>
      <c r="W12" s="569"/>
      <c r="X12" s="569"/>
      <c r="Y12" s="569"/>
    </row>
    <row r="13" spans="1:25" ht="39.75" customHeight="1">
      <c r="A13" s="176">
        <v>2</v>
      </c>
      <c r="B13" s="174" t="s">
        <v>72</v>
      </c>
      <c r="C13" s="13"/>
      <c r="D13" s="177" t="s">
        <v>440</v>
      </c>
      <c r="E13" s="14">
        <v>5705</v>
      </c>
      <c r="F13" s="14">
        <v>2941</v>
      </c>
      <c r="G13" s="56">
        <v>3950</v>
      </c>
      <c r="H13" s="14">
        <v>0</v>
      </c>
      <c r="I13" s="14">
        <f t="shared" ref="I13" si="0">G13</f>
        <v>3950</v>
      </c>
      <c r="J13" s="14">
        <v>16837</v>
      </c>
      <c r="K13" s="14">
        <f t="shared" ref="K13:K19" si="1">I13+J13</f>
        <v>20787</v>
      </c>
      <c r="L13" s="14">
        <v>7927</v>
      </c>
      <c r="M13" s="178">
        <f t="shared" ref="M13:M19" si="2">K13+L13</f>
        <v>28714</v>
      </c>
      <c r="N13" s="14">
        <v>9709</v>
      </c>
      <c r="O13" s="14">
        <v>16985</v>
      </c>
      <c r="P13" s="14">
        <v>12000</v>
      </c>
      <c r="Q13" s="14">
        <v>26000</v>
      </c>
      <c r="R13" s="14">
        <v>4000</v>
      </c>
      <c r="S13" s="14">
        <v>0</v>
      </c>
      <c r="T13" s="14">
        <v>0</v>
      </c>
      <c r="U13" s="14">
        <f>SUM(S13:T13)</f>
        <v>0</v>
      </c>
      <c r="V13" s="565">
        <v>0</v>
      </c>
      <c r="W13" s="565">
        <f>SUM(U13:V13)</f>
        <v>0</v>
      </c>
      <c r="X13" s="565">
        <v>0</v>
      </c>
      <c r="Y13" s="565">
        <f>SUM(W13:X13)</f>
        <v>0</v>
      </c>
    </row>
    <row r="14" spans="1:25" ht="20.100000000000001" customHeight="1">
      <c r="A14" s="176">
        <v>3</v>
      </c>
      <c r="B14" s="174" t="s">
        <v>73</v>
      </c>
      <c r="C14" s="13"/>
      <c r="D14" s="54" t="s">
        <v>488</v>
      </c>
      <c r="E14" s="14">
        <v>3332</v>
      </c>
      <c r="F14" s="14">
        <v>3332</v>
      </c>
      <c r="G14" s="56">
        <v>34397</v>
      </c>
      <c r="H14" s="14">
        <v>0</v>
      </c>
      <c r="I14" s="14">
        <f>G14</f>
        <v>34397</v>
      </c>
      <c r="J14" s="14">
        <v>-7421</v>
      </c>
      <c r="K14" s="14">
        <f t="shared" si="1"/>
        <v>26976</v>
      </c>
      <c r="L14" s="14"/>
      <c r="M14" s="178">
        <f t="shared" si="2"/>
        <v>26976</v>
      </c>
      <c r="N14" s="14">
        <v>1426</v>
      </c>
      <c r="O14" s="14">
        <v>0</v>
      </c>
      <c r="P14" s="14">
        <v>15000</v>
      </c>
      <c r="Q14" s="14">
        <v>4445</v>
      </c>
      <c r="R14" s="14">
        <v>0</v>
      </c>
      <c r="S14" s="14">
        <v>250</v>
      </c>
      <c r="T14" s="14">
        <v>0</v>
      </c>
      <c r="U14" s="14">
        <f t="shared" ref="U14:U33" si="3">SUM(S14:T14)</f>
        <v>250</v>
      </c>
      <c r="V14" s="565">
        <v>0</v>
      </c>
      <c r="W14" s="565">
        <f t="shared" ref="W14:W33" si="4">SUM(U14:V14)</f>
        <v>250</v>
      </c>
      <c r="X14" s="565">
        <v>0</v>
      </c>
      <c r="Y14" s="565">
        <f t="shared" ref="Y14:Y33" si="5">SUM(W14:X14)</f>
        <v>250</v>
      </c>
    </row>
    <row r="15" spans="1:25" ht="30">
      <c r="A15" s="176">
        <v>4</v>
      </c>
      <c r="B15" s="174" t="s">
        <v>74</v>
      </c>
      <c r="C15" s="13"/>
      <c r="D15" s="177" t="s">
        <v>586</v>
      </c>
      <c r="E15" s="14">
        <v>0</v>
      </c>
      <c r="F15" s="14">
        <v>218452</v>
      </c>
      <c r="G15" s="56">
        <v>210279</v>
      </c>
      <c r="H15" s="14">
        <v>-12674</v>
      </c>
      <c r="I15" s="14">
        <f>G15+H15</f>
        <v>197605</v>
      </c>
      <c r="J15" s="14">
        <f>-19956-20000</f>
        <v>-39956</v>
      </c>
      <c r="K15" s="14">
        <f t="shared" si="1"/>
        <v>157649</v>
      </c>
      <c r="L15" s="14"/>
      <c r="M15" s="178">
        <f t="shared" si="2"/>
        <v>157649</v>
      </c>
      <c r="N15" s="14">
        <v>95272</v>
      </c>
      <c r="O15" s="14">
        <v>99308</v>
      </c>
      <c r="P15" s="14">
        <v>4700</v>
      </c>
      <c r="Q15" s="14">
        <v>0</v>
      </c>
      <c r="R15" s="14">
        <v>0</v>
      </c>
      <c r="S15" s="14">
        <v>40053</v>
      </c>
      <c r="T15" s="14">
        <v>0</v>
      </c>
      <c r="U15" s="14">
        <f t="shared" si="3"/>
        <v>40053</v>
      </c>
      <c r="V15" s="565">
        <v>0</v>
      </c>
      <c r="W15" s="565">
        <f t="shared" si="4"/>
        <v>40053</v>
      </c>
      <c r="X15" s="565">
        <v>0</v>
      </c>
      <c r="Y15" s="565">
        <f t="shared" si="5"/>
        <v>40053</v>
      </c>
    </row>
    <row r="16" spans="1:25" ht="20.100000000000001" customHeight="1">
      <c r="A16" s="176">
        <v>5</v>
      </c>
      <c r="B16" s="174" t="s">
        <v>75</v>
      </c>
      <c r="C16" s="13"/>
      <c r="D16" s="177" t="s">
        <v>555</v>
      </c>
      <c r="E16" s="14">
        <v>0</v>
      </c>
      <c r="F16" s="14">
        <v>123007</v>
      </c>
      <c r="G16" s="56">
        <v>103675</v>
      </c>
      <c r="H16" s="14">
        <v>0</v>
      </c>
      <c r="I16" s="14">
        <f>G16</f>
        <v>103675</v>
      </c>
      <c r="J16" s="14">
        <v>0</v>
      </c>
      <c r="K16" s="14">
        <f t="shared" si="1"/>
        <v>103675</v>
      </c>
      <c r="L16" s="14"/>
      <c r="M16" s="178">
        <f t="shared" si="2"/>
        <v>103675</v>
      </c>
      <c r="N16" s="14">
        <v>20564</v>
      </c>
      <c r="O16" s="14">
        <v>0</v>
      </c>
      <c r="P16" s="14">
        <v>49500</v>
      </c>
      <c r="Q16" s="14">
        <v>30000</v>
      </c>
      <c r="R16" s="14">
        <v>0</v>
      </c>
      <c r="S16" s="14">
        <v>130100</v>
      </c>
      <c r="T16" s="14">
        <v>-22482</v>
      </c>
      <c r="U16" s="14">
        <f t="shared" si="3"/>
        <v>107618</v>
      </c>
      <c r="V16" s="565">
        <v>-18500</v>
      </c>
      <c r="W16" s="565">
        <f t="shared" si="4"/>
        <v>89118</v>
      </c>
      <c r="X16" s="565">
        <v>20092</v>
      </c>
      <c r="Y16" s="565">
        <f t="shared" si="5"/>
        <v>109210</v>
      </c>
    </row>
    <row r="17" spans="1:25" ht="30">
      <c r="A17" s="176">
        <v>6</v>
      </c>
      <c r="B17" s="174" t="s">
        <v>76</v>
      </c>
      <c r="C17" s="13"/>
      <c r="D17" s="177" t="s">
        <v>587</v>
      </c>
      <c r="E17" s="14"/>
      <c r="F17" s="14"/>
      <c r="G17" s="56"/>
      <c r="H17" s="14"/>
      <c r="I17" s="14"/>
      <c r="J17" s="14"/>
      <c r="K17" s="14"/>
      <c r="L17" s="14"/>
      <c r="M17" s="178"/>
      <c r="N17" s="14"/>
      <c r="O17" s="14"/>
      <c r="P17" s="14"/>
      <c r="Q17" s="14"/>
      <c r="R17" s="14">
        <v>0</v>
      </c>
      <c r="S17" s="14">
        <v>0</v>
      </c>
      <c r="T17" s="14">
        <v>30000</v>
      </c>
      <c r="U17" s="14">
        <f t="shared" si="3"/>
        <v>30000</v>
      </c>
      <c r="V17" s="565">
        <v>0</v>
      </c>
      <c r="W17" s="565">
        <f t="shared" si="4"/>
        <v>30000</v>
      </c>
      <c r="X17" s="565">
        <v>0</v>
      </c>
      <c r="Y17" s="565">
        <f t="shared" si="5"/>
        <v>30000</v>
      </c>
    </row>
    <row r="18" spans="1:25" ht="20.100000000000001" customHeight="1">
      <c r="A18" s="176">
        <v>7</v>
      </c>
      <c r="B18" s="174" t="s">
        <v>77</v>
      </c>
      <c r="C18" s="13"/>
      <c r="D18" s="54" t="s">
        <v>557</v>
      </c>
      <c r="E18" s="14"/>
      <c r="F18" s="14"/>
      <c r="G18" s="56"/>
      <c r="H18" s="14"/>
      <c r="I18" s="14"/>
      <c r="J18" s="14"/>
      <c r="K18" s="14"/>
      <c r="L18" s="14"/>
      <c r="M18" s="178"/>
      <c r="N18" s="14"/>
      <c r="O18" s="14">
        <v>171198</v>
      </c>
      <c r="P18" s="14">
        <v>263672</v>
      </c>
      <c r="Q18" s="14">
        <v>304978</v>
      </c>
      <c r="R18" s="14">
        <v>0</v>
      </c>
      <c r="S18" s="14">
        <v>18205</v>
      </c>
      <c r="T18" s="14">
        <v>0</v>
      </c>
      <c r="U18" s="14">
        <f t="shared" si="3"/>
        <v>18205</v>
      </c>
      <c r="V18" s="565">
        <v>0</v>
      </c>
      <c r="W18" s="565">
        <f t="shared" si="4"/>
        <v>18205</v>
      </c>
      <c r="X18" s="565">
        <v>0</v>
      </c>
      <c r="Y18" s="565">
        <f t="shared" si="5"/>
        <v>18205</v>
      </c>
    </row>
    <row r="19" spans="1:25" ht="20.100000000000001" customHeight="1">
      <c r="A19" s="176">
        <v>8</v>
      </c>
      <c r="B19" s="174" t="s">
        <v>78</v>
      </c>
      <c r="C19" s="13"/>
      <c r="D19" s="54" t="s">
        <v>588</v>
      </c>
      <c r="E19" s="14">
        <v>0</v>
      </c>
      <c r="F19" s="14">
        <v>0</v>
      </c>
      <c r="G19" s="56">
        <v>49074</v>
      </c>
      <c r="H19" s="14">
        <v>0</v>
      </c>
      <c r="I19" s="14">
        <f>G19</f>
        <v>49074</v>
      </c>
      <c r="J19" s="14">
        <v>-49074</v>
      </c>
      <c r="K19" s="14">
        <f t="shared" si="1"/>
        <v>0</v>
      </c>
      <c r="L19" s="14"/>
      <c r="M19" s="178">
        <f t="shared" si="2"/>
        <v>0</v>
      </c>
      <c r="N19" s="14">
        <v>83476</v>
      </c>
      <c r="O19" s="14">
        <v>0</v>
      </c>
      <c r="P19" s="14">
        <v>57150</v>
      </c>
      <c r="Q19" s="14">
        <v>0</v>
      </c>
      <c r="R19" s="14">
        <v>10000</v>
      </c>
      <c r="S19" s="14">
        <v>0</v>
      </c>
      <c r="T19" s="14">
        <v>2570</v>
      </c>
      <c r="U19" s="14">
        <f t="shared" si="3"/>
        <v>2570</v>
      </c>
      <c r="V19" s="565">
        <v>0</v>
      </c>
      <c r="W19" s="565">
        <f t="shared" si="4"/>
        <v>2570</v>
      </c>
      <c r="X19" s="565">
        <v>0</v>
      </c>
      <c r="Y19" s="565">
        <f t="shared" si="5"/>
        <v>2570</v>
      </c>
    </row>
    <row r="20" spans="1:25" ht="20.100000000000001" customHeight="1">
      <c r="A20" s="176">
        <v>9</v>
      </c>
      <c r="B20" s="174" t="s">
        <v>79</v>
      </c>
      <c r="C20" s="13"/>
      <c r="D20" s="177" t="s">
        <v>469</v>
      </c>
      <c r="E20" s="14"/>
      <c r="F20" s="14"/>
      <c r="G20" s="56"/>
      <c r="H20" s="14"/>
      <c r="I20" s="14"/>
      <c r="J20" s="14"/>
      <c r="K20" s="14"/>
      <c r="L20" s="14"/>
      <c r="M20" s="178"/>
      <c r="N20" s="14">
        <v>10000</v>
      </c>
      <c r="O20" s="14">
        <v>0</v>
      </c>
      <c r="P20" s="14">
        <v>4000</v>
      </c>
      <c r="Q20" s="14">
        <v>0</v>
      </c>
      <c r="R20" s="14">
        <v>0</v>
      </c>
      <c r="S20" s="14">
        <v>3000</v>
      </c>
      <c r="T20" s="14">
        <v>0</v>
      </c>
      <c r="U20" s="14">
        <f t="shared" si="3"/>
        <v>3000</v>
      </c>
      <c r="V20" s="565">
        <v>0</v>
      </c>
      <c r="W20" s="565">
        <f t="shared" si="4"/>
        <v>3000</v>
      </c>
      <c r="X20" s="565">
        <v>0</v>
      </c>
      <c r="Y20" s="565">
        <f t="shared" si="5"/>
        <v>3000</v>
      </c>
    </row>
    <row r="21" spans="1:25" ht="20.100000000000001" customHeight="1">
      <c r="A21" s="176">
        <v>10</v>
      </c>
      <c r="B21" s="174" t="s">
        <v>80</v>
      </c>
      <c r="C21" s="13"/>
      <c r="D21" s="177" t="s">
        <v>490</v>
      </c>
      <c r="E21" s="14"/>
      <c r="F21" s="14"/>
      <c r="G21" s="56"/>
      <c r="H21" s="14"/>
      <c r="I21" s="14"/>
      <c r="J21" s="14"/>
      <c r="K21" s="14"/>
      <c r="L21" s="14"/>
      <c r="M21" s="178"/>
      <c r="N21" s="14">
        <v>16633</v>
      </c>
      <c r="O21" s="14">
        <v>0</v>
      </c>
      <c r="P21" s="14">
        <v>0</v>
      </c>
      <c r="Q21" s="14">
        <v>5000</v>
      </c>
      <c r="R21" s="14">
        <v>0</v>
      </c>
      <c r="S21" s="14">
        <v>2500</v>
      </c>
      <c r="T21" s="14">
        <v>0</v>
      </c>
      <c r="U21" s="14">
        <f t="shared" si="3"/>
        <v>2500</v>
      </c>
      <c r="V21" s="565">
        <v>0</v>
      </c>
      <c r="W21" s="565">
        <f t="shared" si="4"/>
        <v>2500</v>
      </c>
      <c r="X21" s="565">
        <v>0</v>
      </c>
      <c r="Y21" s="565">
        <f t="shared" si="5"/>
        <v>2500</v>
      </c>
    </row>
    <row r="22" spans="1:25" ht="20.100000000000001" customHeight="1">
      <c r="A22" s="176">
        <v>11</v>
      </c>
      <c r="B22" s="174" t="s">
        <v>81</v>
      </c>
      <c r="C22" s="13"/>
      <c r="D22" s="177" t="s">
        <v>507</v>
      </c>
      <c r="E22" s="14"/>
      <c r="F22" s="14"/>
      <c r="G22" s="56"/>
      <c r="H22" s="14"/>
      <c r="I22" s="14"/>
      <c r="J22" s="14"/>
      <c r="K22" s="14"/>
      <c r="L22" s="14"/>
      <c r="M22" s="178"/>
      <c r="N22" s="14">
        <v>2000</v>
      </c>
      <c r="O22" s="14">
        <v>0</v>
      </c>
      <c r="P22" s="14">
        <v>5000</v>
      </c>
      <c r="Q22" s="14">
        <v>0</v>
      </c>
      <c r="R22" s="14">
        <v>15000</v>
      </c>
      <c r="S22" s="14">
        <v>0</v>
      </c>
      <c r="T22" s="14">
        <v>0</v>
      </c>
      <c r="U22" s="14">
        <f t="shared" si="3"/>
        <v>0</v>
      </c>
      <c r="V22" s="565">
        <v>0</v>
      </c>
      <c r="W22" s="565">
        <f t="shared" si="4"/>
        <v>0</v>
      </c>
      <c r="X22" s="565">
        <v>0</v>
      </c>
      <c r="Y22" s="565">
        <f t="shared" si="5"/>
        <v>0</v>
      </c>
    </row>
    <row r="23" spans="1:25" ht="20.100000000000001" customHeight="1">
      <c r="A23" s="176">
        <v>12</v>
      </c>
      <c r="B23" s="174" t="s">
        <v>82</v>
      </c>
      <c r="C23" s="13"/>
      <c r="D23" s="177" t="s">
        <v>589</v>
      </c>
      <c r="E23" s="14"/>
      <c r="F23" s="14"/>
      <c r="G23" s="56"/>
      <c r="H23" s="14"/>
      <c r="I23" s="14"/>
      <c r="J23" s="14"/>
      <c r="K23" s="14"/>
      <c r="L23" s="14"/>
      <c r="M23" s="178"/>
      <c r="N23" s="14"/>
      <c r="O23" s="14"/>
      <c r="P23" s="14"/>
      <c r="Q23" s="14"/>
      <c r="R23" s="14">
        <v>0</v>
      </c>
      <c r="S23" s="14">
        <v>0</v>
      </c>
      <c r="T23" s="14">
        <v>2500</v>
      </c>
      <c r="U23" s="14">
        <f t="shared" si="3"/>
        <v>2500</v>
      </c>
      <c r="V23" s="565">
        <v>0</v>
      </c>
      <c r="W23" s="565">
        <f t="shared" si="4"/>
        <v>2500</v>
      </c>
      <c r="X23" s="565">
        <v>0</v>
      </c>
      <c r="Y23" s="565">
        <f t="shared" si="5"/>
        <v>2500</v>
      </c>
    </row>
    <row r="24" spans="1:25" ht="20.100000000000001" customHeight="1">
      <c r="A24" s="176">
        <v>13</v>
      </c>
      <c r="B24" s="174" t="s">
        <v>83</v>
      </c>
      <c r="C24" s="13"/>
      <c r="D24" s="177" t="s">
        <v>508</v>
      </c>
      <c r="E24" s="14"/>
      <c r="F24" s="14"/>
      <c r="G24" s="56"/>
      <c r="H24" s="14"/>
      <c r="I24" s="14"/>
      <c r="J24" s="14"/>
      <c r="K24" s="14"/>
      <c r="L24" s="14"/>
      <c r="M24" s="178"/>
      <c r="N24" s="14">
        <v>10000</v>
      </c>
      <c r="O24" s="14">
        <v>0</v>
      </c>
      <c r="P24" s="14">
        <v>4000</v>
      </c>
      <c r="Q24" s="14">
        <v>0</v>
      </c>
      <c r="R24" s="14">
        <v>6000</v>
      </c>
      <c r="S24" s="14">
        <v>10000</v>
      </c>
      <c r="T24" s="14">
        <v>0</v>
      </c>
      <c r="U24" s="14">
        <f t="shared" si="3"/>
        <v>10000</v>
      </c>
      <c r="V24" s="565">
        <v>0</v>
      </c>
      <c r="W24" s="565">
        <f t="shared" si="4"/>
        <v>10000</v>
      </c>
      <c r="X24" s="565">
        <v>0</v>
      </c>
      <c r="Y24" s="565">
        <f t="shared" si="5"/>
        <v>10000</v>
      </c>
    </row>
    <row r="25" spans="1:25" ht="20.100000000000001" customHeight="1">
      <c r="A25" s="176">
        <v>14</v>
      </c>
      <c r="B25" s="174" t="s">
        <v>84</v>
      </c>
      <c r="C25" s="13"/>
      <c r="D25" s="177" t="s">
        <v>472</v>
      </c>
      <c r="E25" s="14"/>
      <c r="F25" s="14"/>
      <c r="G25" s="56"/>
      <c r="H25" s="14"/>
      <c r="I25" s="14"/>
      <c r="J25" s="14"/>
      <c r="K25" s="14"/>
      <c r="L25" s="14"/>
      <c r="M25" s="178"/>
      <c r="N25" s="14">
        <v>10000</v>
      </c>
      <c r="O25" s="14">
        <v>0</v>
      </c>
      <c r="P25" s="14">
        <v>8500</v>
      </c>
      <c r="Q25" s="14">
        <v>6000</v>
      </c>
      <c r="R25" s="14">
        <v>10000</v>
      </c>
      <c r="S25" s="14">
        <v>45893</v>
      </c>
      <c r="T25" s="14">
        <v>0</v>
      </c>
      <c r="U25" s="14">
        <f t="shared" si="3"/>
        <v>45893</v>
      </c>
      <c r="V25" s="565">
        <v>0</v>
      </c>
      <c r="W25" s="565">
        <f t="shared" si="4"/>
        <v>45893</v>
      </c>
      <c r="X25" s="565">
        <v>0</v>
      </c>
      <c r="Y25" s="565">
        <f t="shared" si="5"/>
        <v>45893</v>
      </c>
    </row>
    <row r="26" spans="1:25" ht="18" customHeight="1">
      <c r="A26" s="176">
        <v>15</v>
      </c>
      <c r="B26" s="174" t="s">
        <v>85</v>
      </c>
      <c r="C26" s="13"/>
      <c r="D26" s="214" t="s">
        <v>509</v>
      </c>
      <c r="E26" s="14"/>
      <c r="F26" s="14"/>
      <c r="G26" s="14"/>
      <c r="H26" s="14"/>
      <c r="I26" s="14"/>
      <c r="J26" s="14"/>
      <c r="K26" s="14"/>
      <c r="L26" s="14"/>
      <c r="M26" s="178"/>
      <c r="N26" s="14">
        <v>0</v>
      </c>
      <c r="O26" s="14">
        <v>3500</v>
      </c>
      <c r="P26" s="14">
        <v>4200</v>
      </c>
      <c r="Q26" s="14">
        <v>0</v>
      </c>
      <c r="R26" s="14">
        <v>250000</v>
      </c>
      <c r="S26" s="14">
        <v>0</v>
      </c>
      <c r="T26" s="14">
        <v>0</v>
      </c>
      <c r="U26" s="14">
        <f t="shared" si="3"/>
        <v>0</v>
      </c>
      <c r="V26" s="565">
        <v>0</v>
      </c>
      <c r="W26" s="565">
        <f t="shared" si="4"/>
        <v>0</v>
      </c>
      <c r="X26" s="565">
        <v>0</v>
      </c>
      <c r="Y26" s="565">
        <f t="shared" si="5"/>
        <v>0</v>
      </c>
    </row>
    <row r="27" spans="1:25" ht="18.75" customHeight="1">
      <c r="A27" s="176">
        <v>16</v>
      </c>
      <c r="B27" s="174" t="s">
        <v>86</v>
      </c>
      <c r="C27" s="13"/>
      <c r="D27" s="177" t="s">
        <v>470</v>
      </c>
      <c r="E27" s="14"/>
      <c r="F27" s="14"/>
      <c r="G27" s="56"/>
      <c r="H27" s="14"/>
      <c r="I27" s="14"/>
      <c r="J27" s="14"/>
      <c r="K27" s="14"/>
      <c r="L27" s="14"/>
      <c r="M27" s="178"/>
      <c r="N27" s="14"/>
      <c r="O27" s="14">
        <v>0</v>
      </c>
      <c r="P27" s="14">
        <v>7279136</v>
      </c>
      <c r="Q27" s="14">
        <f>3564625+105000</f>
        <v>3669625</v>
      </c>
      <c r="R27" s="14">
        <v>2276159</v>
      </c>
      <c r="S27" s="14">
        <v>0</v>
      </c>
      <c r="T27" s="14">
        <v>0</v>
      </c>
      <c r="U27" s="14">
        <f t="shared" si="3"/>
        <v>0</v>
      </c>
      <c r="V27" s="565">
        <v>0</v>
      </c>
      <c r="W27" s="565">
        <f t="shared" si="4"/>
        <v>0</v>
      </c>
      <c r="X27" s="565">
        <v>0</v>
      </c>
      <c r="Y27" s="565">
        <f t="shared" si="5"/>
        <v>0</v>
      </c>
    </row>
    <row r="28" spans="1:25" ht="20.25" customHeight="1">
      <c r="A28" s="176">
        <v>17</v>
      </c>
      <c r="B28" s="174" t="s">
        <v>87</v>
      </c>
      <c r="C28" s="13"/>
      <c r="D28" s="177" t="s">
        <v>471</v>
      </c>
      <c r="E28" s="14"/>
      <c r="F28" s="14"/>
      <c r="G28" s="56"/>
      <c r="H28" s="14"/>
      <c r="I28" s="14"/>
      <c r="J28" s="14"/>
      <c r="K28" s="14"/>
      <c r="L28" s="14"/>
      <c r="M28" s="178"/>
      <c r="N28" s="14"/>
      <c r="O28" s="14">
        <v>0</v>
      </c>
      <c r="P28" s="14">
        <v>380000</v>
      </c>
      <c r="Q28" s="14">
        <v>608725</v>
      </c>
      <c r="R28" s="14">
        <v>231116</v>
      </c>
      <c r="S28" s="14">
        <v>0</v>
      </c>
      <c r="T28" s="14">
        <v>0</v>
      </c>
      <c r="U28" s="14">
        <f t="shared" si="3"/>
        <v>0</v>
      </c>
      <c r="V28" s="565">
        <v>0</v>
      </c>
      <c r="W28" s="565">
        <f t="shared" si="4"/>
        <v>0</v>
      </c>
      <c r="X28" s="565">
        <v>0</v>
      </c>
      <c r="Y28" s="565">
        <f t="shared" si="5"/>
        <v>0</v>
      </c>
    </row>
    <row r="29" spans="1:25" ht="19.5" customHeight="1">
      <c r="A29" s="176">
        <v>18</v>
      </c>
      <c r="B29" s="174" t="s">
        <v>88</v>
      </c>
      <c r="C29" s="13"/>
      <c r="D29" s="177" t="s">
        <v>521</v>
      </c>
      <c r="E29" s="14"/>
      <c r="F29" s="14"/>
      <c r="G29" s="56"/>
      <c r="H29" s="14"/>
      <c r="I29" s="14"/>
      <c r="J29" s="14"/>
      <c r="K29" s="14"/>
      <c r="L29" s="14"/>
      <c r="M29" s="178"/>
      <c r="N29" s="14"/>
      <c r="O29" s="14">
        <v>0</v>
      </c>
      <c r="P29" s="14">
        <v>9000</v>
      </c>
      <c r="Q29" s="14">
        <v>0</v>
      </c>
      <c r="R29" s="14">
        <f>421829+78740</f>
        <v>500569</v>
      </c>
      <c r="S29" s="14">
        <v>0</v>
      </c>
      <c r="T29" s="14">
        <v>0</v>
      </c>
      <c r="U29" s="14">
        <f t="shared" si="3"/>
        <v>0</v>
      </c>
      <c r="V29" s="565">
        <v>0</v>
      </c>
      <c r="W29" s="565">
        <f t="shared" si="4"/>
        <v>0</v>
      </c>
      <c r="X29" s="565">
        <v>0</v>
      </c>
      <c r="Y29" s="565">
        <f t="shared" si="5"/>
        <v>0</v>
      </c>
    </row>
    <row r="30" spans="1:25" ht="19.5" customHeight="1">
      <c r="A30" s="176">
        <v>19</v>
      </c>
      <c r="B30" s="174" t="s">
        <v>89</v>
      </c>
      <c r="C30" s="13"/>
      <c r="D30" s="177" t="s">
        <v>556</v>
      </c>
      <c r="E30" s="14"/>
      <c r="F30" s="14"/>
      <c r="G30" s="56"/>
      <c r="H30" s="14"/>
      <c r="I30" s="14"/>
      <c r="J30" s="14"/>
      <c r="K30" s="14"/>
      <c r="L30" s="14"/>
      <c r="M30" s="178"/>
      <c r="N30" s="14"/>
      <c r="O30" s="14"/>
      <c r="P30" s="14">
        <v>0</v>
      </c>
      <c r="Q30" s="14">
        <v>35026</v>
      </c>
      <c r="R30" s="14">
        <v>12496</v>
      </c>
      <c r="S30" s="14">
        <v>14986</v>
      </c>
      <c r="T30" s="14">
        <v>0</v>
      </c>
      <c r="U30" s="14">
        <f t="shared" si="3"/>
        <v>14986</v>
      </c>
      <c r="V30" s="565">
        <v>0</v>
      </c>
      <c r="W30" s="565">
        <f t="shared" si="4"/>
        <v>14986</v>
      </c>
      <c r="X30" s="565">
        <v>0</v>
      </c>
      <c r="Y30" s="565">
        <f t="shared" si="5"/>
        <v>14986</v>
      </c>
    </row>
    <row r="31" spans="1:25" ht="19.5" customHeight="1">
      <c r="A31" s="176">
        <v>20</v>
      </c>
      <c r="B31" s="174" t="s">
        <v>90</v>
      </c>
      <c r="C31" s="13"/>
      <c r="D31" s="177" t="s">
        <v>489</v>
      </c>
      <c r="E31" s="14"/>
      <c r="F31" s="14"/>
      <c r="G31" s="56"/>
      <c r="H31" s="14"/>
      <c r="I31" s="14"/>
      <c r="J31" s="14"/>
      <c r="K31" s="14"/>
      <c r="L31" s="14"/>
      <c r="M31" s="178"/>
      <c r="N31" s="14"/>
      <c r="O31" s="14">
        <v>0</v>
      </c>
      <c r="P31" s="14">
        <v>5000</v>
      </c>
      <c r="Q31" s="14">
        <v>4410</v>
      </c>
      <c r="R31" s="14">
        <v>4890</v>
      </c>
      <c r="S31" s="14">
        <v>4200</v>
      </c>
      <c r="T31" s="14">
        <v>-2</v>
      </c>
      <c r="U31" s="14">
        <f t="shared" si="3"/>
        <v>4198</v>
      </c>
      <c r="V31" s="565">
        <v>0</v>
      </c>
      <c r="W31" s="565">
        <f t="shared" si="4"/>
        <v>4198</v>
      </c>
      <c r="X31" s="565">
        <v>0</v>
      </c>
      <c r="Y31" s="565">
        <f t="shared" si="5"/>
        <v>4198</v>
      </c>
    </row>
    <row r="32" spans="1:25" ht="19.5" customHeight="1">
      <c r="A32" s="176">
        <v>21</v>
      </c>
      <c r="B32" s="174" t="s">
        <v>91</v>
      </c>
      <c r="C32" s="13"/>
      <c r="D32" s="177" t="s">
        <v>506</v>
      </c>
      <c r="E32" s="14"/>
      <c r="F32" s="14"/>
      <c r="G32" s="56"/>
      <c r="H32" s="14"/>
      <c r="I32" s="14"/>
      <c r="J32" s="14"/>
      <c r="K32" s="14"/>
      <c r="L32" s="14"/>
      <c r="M32" s="178"/>
      <c r="N32" s="14"/>
      <c r="O32" s="14"/>
      <c r="P32" s="14"/>
      <c r="Q32" s="14">
        <v>0</v>
      </c>
      <c r="R32" s="14">
        <v>6477</v>
      </c>
      <c r="S32" s="14">
        <v>2794</v>
      </c>
      <c r="T32" s="14">
        <v>0</v>
      </c>
      <c r="U32" s="14">
        <f t="shared" si="3"/>
        <v>2794</v>
      </c>
      <c r="V32" s="565">
        <v>0</v>
      </c>
      <c r="W32" s="565">
        <f t="shared" si="4"/>
        <v>2794</v>
      </c>
      <c r="X32" s="565">
        <v>0</v>
      </c>
      <c r="Y32" s="565">
        <f t="shared" si="5"/>
        <v>2794</v>
      </c>
    </row>
    <row r="33" spans="1:25" ht="19.5" customHeight="1">
      <c r="A33" s="176">
        <v>22</v>
      </c>
      <c r="B33" s="174" t="s">
        <v>92</v>
      </c>
      <c r="C33" s="13"/>
      <c r="D33" s="177" t="s">
        <v>441</v>
      </c>
      <c r="E33" s="14"/>
      <c r="F33" s="14"/>
      <c r="G33" s="56"/>
      <c r="H33" s="14"/>
      <c r="I33" s="14"/>
      <c r="J33" s="14"/>
      <c r="K33" s="14"/>
      <c r="L33" s="14"/>
      <c r="M33" s="178"/>
      <c r="N33" s="14">
        <v>0</v>
      </c>
      <c r="O33" s="14">
        <v>2285</v>
      </c>
      <c r="P33" s="14">
        <v>4943</v>
      </c>
      <c r="Q33" s="14">
        <v>1528</v>
      </c>
      <c r="R33" s="14">
        <v>8541</v>
      </c>
      <c r="S33" s="14">
        <v>10022</v>
      </c>
      <c r="T33" s="14">
        <v>0</v>
      </c>
      <c r="U33" s="14">
        <f t="shared" si="3"/>
        <v>10022</v>
      </c>
      <c r="V33" s="565">
        <v>300</v>
      </c>
      <c r="W33" s="565">
        <f t="shared" si="4"/>
        <v>10322</v>
      </c>
      <c r="X33" s="565">
        <v>0</v>
      </c>
      <c r="Y33" s="565">
        <f t="shared" si="5"/>
        <v>10322</v>
      </c>
    </row>
    <row r="34" spans="1:25" ht="22.5" customHeight="1">
      <c r="A34" s="176">
        <v>23</v>
      </c>
      <c r="B34" s="174" t="s">
        <v>95</v>
      </c>
      <c r="C34" s="13"/>
      <c r="D34" s="179" t="s">
        <v>19</v>
      </c>
      <c r="E34" s="48">
        <f t="shared" ref="E34:M34" si="6">SUM(E13:E19)</f>
        <v>9037</v>
      </c>
      <c r="F34" s="48">
        <f t="shared" si="6"/>
        <v>347732</v>
      </c>
      <c r="G34" s="48">
        <f t="shared" si="6"/>
        <v>401375</v>
      </c>
      <c r="H34" s="48">
        <f t="shared" si="6"/>
        <v>-12674</v>
      </c>
      <c r="I34" s="48">
        <f t="shared" si="6"/>
        <v>388701</v>
      </c>
      <c r="J34" s="48">
        <f t="shared" si="6"/>
        <v>-79614</v>
      </c>
      <c r="K34" s="48">
        <f t="shared" si="6"/>
        <v>309087</v>
      </c>
      <c r="L34" s="48">
        <f t="shared" si="6"/>
        <v>7927</v>
      </c>
      <c r="M34" s="108">
        <f t="shared" si="6"/>
        <v>317014</v>
      </c>
      <c r="N34" s="48">
        <f t="shared" ref="N34:Y34" si="7">SUM(N13:N33)</f>
        <v>259080</v>
      </c>
      <c r="O34" s="180">
        <f t="shared" si="7"/>
        <v>293276</v>
      </c>
      <c r="P34" s="180">
        <f t="shared" si="7"/>
        <v>8105801</v>
      </c>
      <c r="Q34" s="180">
        <f t="shared" si="7"/>
        <v>4695737</v>
      </c>
      <c r="R34" s="180">
        <f t="shared" si="7"/>
        <v>3335248</v>
      </c>
      <c r="S34" s="180">
        <f t="shared" si="7"/>
        <v>282003</v>
      </c>
      <c r="T34" s="180">
        <f t="shared" si="7"/>
        <v>12586</v>
      </c>
      <c r="U34" s="180">
        <f t="shared" si="7"/>
        <v>294589</v>
      </c>
      <c r="V34" s="122">
        <f t="shared" si="7"/>
        <v>-18200</v>
      </c>
      <c r="W34" s="122">
        <f t="shared" si="7"/>
        <v>276389</v>
      </c>
      <c r="X34" s="122">
        <f t="shared" si="7"/>
        <v>20092</v>
      </c>
      <c r="Y34" s="122">
        <f t="shared" si="7"/>
        <v>296481</v>
      </c>
    </row>
    <row r="35" spans="1:25" ht="0.75" customHeight="1">
      <c r="A35" s="13"/>
      <c r="B35" s="685"/>
      <c r="C35" s="685"/>
      <c r="D35" s="685"/>
      <c r="E35" s="685"/>
      <c r="F35" s="685"/>
      <c r="G35" s="685"/>
      <c r="H35" s="685"/>
      <c r="I35" s="685"/>
      <c r="J35" s="685"/>
      <c r="K35" s="685"/>
      <c r="L35" s="685"/>
    </row>
    <row r="36" spans="1:25" customFormat="1">
      <c r="A36" s="812" t="s">
        <v>644</v>
      </c>
      <c r="B36" s="812"/>
      <c r="C36" s="812"/>
      <c r="D36" s="812"/>
      <c r="E36" s="812"/>
      <c r="F36" s="812"/>
      <c r="G36" s="812"/>
      <c r="H36" s="812"/>
      <c r="I36" s="812"/>
      <c r="J36" s="812"/>
      <c r="K36" s="812"/>
      <c r="L36" s="812"/>
      <c r="M36" s="812"/>
      <c r="N36" s="812"/>
      <c r="O36" s="812"/>
      <c r="P36" s="812"/>
      <c r="Q36" s="812"/>
      <c r="R36" s="812"/>
      <c r="S36" s="812"/>
      <c r="T36" s="812"/>
      <c r="U36" s="812"/>
      <c r="V36" s="812"/>
      <c r="W36" s="812"/>
      <c r="X36" s="812"/>
      <c r="Y36" s="812"/>
    </row>
    <row r="37" spans="1:25">
      <c r="A37" s="812"/>
      <c r="B37" s="812"/>
      <c r="C37" s="812"/>
      <c r="D37" s="812"/>
      <c r="E37" s="812"/>
      <c r="F37" s="812"/>
      <c r="G37" s="812"/>
      <c r="H37" s="812"/>
      <c r="I37" s="812"/>
      <c r="J37" s="812"/>
      <c r="K37" s="812"/>
      <c r="L37" s="812"/>
      <c r="M37" s="812"/>
      <c r="N37" s="812"/>
      <c r="O37" s="812"/>
      <c r="P37" s="812"/>
      <c r="Q37" s="812"/>
      <c r="R37" s="812"/>
      <c r="S37" s="812"/>
      <c r="T37" s="812"/>
      <c r="U37" s="812"/>
      <c r="V37" s="812"/>
      <c r="W37" s="812"/>
      <c r="X37" s="812"/>
      <c r="Y37" s="812"/>
    </row>
    <row r="39" spans="1:25">
      <c r="I39" s="166"/>
    </row>
    <row r="40" spans="1:25">
      <c r="I40" s="166"/>
    </row>
    <row r="46" spans="1:25">
      <c r="J46" s="166"/>
      <c r="L46" s="166"/>
    </row>
  </sheetData>
  <mergeCells count="28">
    <mergeCell ref="A36:Y37"/>
    <mergeCell ref="U6:U8"/>
    <mergeCell ref="V6:V8"/>
    <mergeCell ref="W6:W8"/>
    <mergeCell ref="X6:X8"/>
    <mergeCell ref="Y6:Y8"/>
    <mergeCell ref="B35:L35"/>
    <mergeCell ref="O6:O8"/>
    <mergeCell ref="P6:P8"/>
    <mergeCell ref="Q6:Q8"/>
    <mergeCell ref="R6:R8"/>
    <mergeCell ref="S6:S8"/>
    <mergeCell ref="T6:T8"/>
    <mergeCell ref="I6:I8"/>
    <mergeCell ref="J6:J8"/>
    <mergeCell ref="K6:K8"/>
    <mergeCell ref="L6:L8"/>
    <mergeCell ref="M6:M8"/>
    <mergeCell ref="N6:N8"/>
    <mergeCell ref="A1:Y1"/>
    <mergeCell ref="A2:Y2"/>
    <mergeCell ref="A6:A8"/>
    <mergeCell ref="B6:B8"/>
    <mergeCell ref="C6:D8"/>
    <mergeCell ref="E6:E8"/>
    <mergeCell ref="F6:F8"/>
    <mergeCell ref="G6:G8"/>
    <mergeCell ref="H6:H8"/>
  </mergeCells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351D-D2A5-49E0-B0C4-AD117A3417E2}">
  <dimension ref="A1:O19"/>
  <sheetViews>
    <sheetView view="pageBreakPreview" zoomScale="60" zoomScaleNormal="100" workbookViewId="0">
      <selection activeCell="B20" sqref="B20"/>
    </sheetView>
  </sheetViews>
  <sheetFormatPr defaultColWidth="9.140625" defaultRowHeight="15.75"/>
  <cols>
    <col min="1" max="1" width="9.140625" style="181"/>
    <col min="2" max="2" width="8.5703125" style="181" customWidth="1"/>
    <col min="3" max="3" width="69.5703125" style="181" customWidth="1"/>
    <col min="4" max="4" width="15.5703125" style="181" hidden="1" customWidth="1"/>
    <col min="5" max="5" width="14.5703125" style="181" hidden="1" customWidth="1"/>
    <col min="6" max="6" width="13.42578125" style="181" hidden="1" customWidth="1"/>
    <col min="7" max="7" width="17.5703125" style="181" hidden="1" customWidth="1"/>
    <col min="8" max="8" width="16" style="181" hidden="1" customWidth="1"/>
    <col min="9" max="9" width="20" style="181" hidden="1" customWidth="1"/>
    <col min="10" max="10" width="20.140625" style="181" hidden="1" customWidth="1"/>
    <col min="11" max="11" width="22.42578125" style="181" hidden="1" customWidth="1"/>
    <col min="12" max="12" width="16.85546875" style="181" customWidth="1"/>
    <col min="13" max="13" width="19.7109375" style="181" customWidth="1"/>
    <col min="14" max="14" width="18" style="181" customWidth="1"/>
    <col min="15" max="15" width="16.5703125" style="181" customWidth="1"/>
    <col min="16" max="16384" width="9.140625" style="181"/>
  </cols>
  <sheetData>
    <row r="1" spans="1:15" s="633" customFormat="1" ht="15">
      <c r="A1" s="918" t="s">
        <v>645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</row>
    <row r="2" spans="1:15" ht="18.75">
      <c r="A2" s="709" t="s">
        <v>541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</row>
    <row r="3" spans="1:15">
      <c r="C3" s="182"/>
      <c r="E3" s="738" t="s">
        <v>56</v>
      </c>
      <c r="F3" s="738"/>
      <c r="G3" s="738"/>
    </row>
    <row r="4" spans="1:15">
      <c r="L4" s="886" t="s">
        <v>56</v>
      </c>
      <c r="M4" s="886"/>
      <c r="N4" s="886"/>
      <c r="O4" s="886"/>
    </row>
    <row r="5" spans="1:15">
      <c r="A5" s="183"/>
      <c r="B5" s="184" t="s">
        <v>414</v>
      </c>
      <c r="C5" s="184" t="s">
        <v>415</v>
      </c>
      <c r="D5" s="184"/>
      <c r="E5" s="184"/>
      <c r="F5" s="184"/>
      <c r="G5" s="184"/>
      <c r="H5" s="184" t="s">
        <v>417</v>
      </c>
      <c r="I5" s="184" t="s">
        <v>416</v>
      </c>
      <c r="J5" s="184" t="s">
        <v>416</v>
      </c>
      <c r="K5" s="184" t="s">
        <v>416</v>
      </c>
      <c r="L5" s="184" t="s">
        <v>416</v>
      </c>
      <c r="M5" s="184" t="s">
        <v>417</v>
      </c>
      <c r="N5" s="184" t="s">
        <v>418</v>
      </c>
      <c r="O5" s="184" t="s">
        <v>419</v>
      </c>
    </row>
    <row r="6" spans="1:15">
      <c r="A6" s="730">
        <v>1</v>
      </c>
      <c r="B6" s="739" t="s">
        <v>117</v>
      </c>
      <c r="C6" s="739" t="s">
        <v>55</v>
      </c>
      <c r="D6" s="714" t="s">
        <v>104</v>
      </c>
      <c r="E6" s="735" t="s">
        <v>109</v>
      </c>
      <c r="F6" s="733" t="s">
        <v>111</v>
      </c>
      <c r="G6" s="734" t="s">
        <v>256</v>
      </c>
      <c r="H6" s="715" t="s">
        <v>457</v>
      </c>
      <c r="I6" s="715" t="s">
        <v>460</v>
      </c>
      <c r="J6" s="715" t="s">
        <v>484</v>
      </c>
      <c r="K6" s="715" t="s">
        <v>501</v>
      </c>
      <c r="L6" s="715" t="s">
        <v>542</v>
      </c>
      <c r="M6" s="715" t="s">
        <v>580</v>
      </c>
      <c r="N6" s="715" t="s">
        <v>111</v>
      </c>
      <c r="O6" s="715" t="s">
        <v>582</v>
      </c>
    </row>
    <row r="7" spans="1:15">
      <c r="A7" s="731"/>
      <c r="B7" s="739"/>
      <c r="C7" s="739"/>
      <c r="D7" s="714"/>
      <c r="E7" s="736"/>
      <c r="F7" s="733"/>
      <c r="G7" s="734"/>
      <c r="H7" s="716"/>
      <c r="I7" s="716"/>
      <c r="J7" s="716"/>
      <c r="K7" s="716"/>
      <c r="L7" s="716"/>
      <c r="M7" s="716"/>
      <c r="N7" s="716"/>
      <c r="O7" s="716"/>
    </row>
    <row r="8" spans="1:15" ht="35.25" customHeight="1">
      <c r="A8" s="732"/>
      <c r="B8" s="739"/>
      <c r="C8" s="739"/>
      <c r="D8" s="714"/>
      <c r="E8" s="737"/>
      <c r="F8" s="733"/>
      <c r="G8" s="734"/>
      <c r="H8" s="717"/>
      <c r="I8" s="717"/>
      <c r="J8" s="717"/>
      <c r="K8" s="717"/>
      <c r="L8" s="717"/>
      <c r="M8" s="717"/>
      <c r="N8" s="717"/>
      <c r="O8" s="717"/>
    </row>
    <row r="9" spans="1:15">
      <c r="A9" s="185">
        <v>2</v>
      </c>
      <c r="B9" s="186" t="s">
        <v>72</v>
      </c>
      <c r="C9" s="183" t="s">
        <v>261</v>
      </c>
      <c r="D9" s="187">
        <v>2000</v>
      </c>
      <c r="E9" s="187">
        <v>2500</v>
      </c>
      <c r="F9" s="187">
        <v>0</v>
      </c>
      <c r="G9" s="187">
        <f>E9+F9</f>
        <v>2500</v>
      </c>
      <c r="H9" s="187">
        <v>3000</v>
      </c>
      <c r="I9" s="187">
        <v>4000</v>
      </c>
      <c r="J9" s="187">
        <v>4000</v>
      </c>
      <c r="K9" s="187">
        <v>4000</v>
      </c>
      <c r="L9" s="187">
        <v>4000</v>
      </c>
      <c r="M9" s="187">
        <v>6000</v>
      </c>
      <c r="N9" s="187">
        <v>0</v>
      </c>
      <c r="O9" s="187">
        <f>SUM(M9:N9)</f>
        <v>6000</v>
      </c>
    </row>
    <row r="10" spans="1:15">
      <c r="A10" s="185">
        <v>3</v>
      </c>
      <c r="B10" s="186" t="s">
        <v>73</v>
      </c>
      <c r="C10" s="183" t="s">
        <v>262</v>
      </c>
      <c r="D10" s="187">
        <v>7000</v>
      </c>
      <c r="E10" s="187">
        <v>6000</v>
      </c>
      <c r="F10" s="187">
        <v>0</v>
      </c>
      <c r="G10" s="187">
        <f t="shared" ref="G10:G15" si="0">E10+F10</f>
        <v>6000</v>
      </c>
      <c r="H10" s="187">
        <v>6500</v>
      </c>
      <c r="I10" s="187">
        <v>3000</v>
      </c>
      <c r="J10" s="187">
        <v>7000</v>
      </c>
      <c r="K10" s="187">
        <v>60000</v>
      </c>
      <c r="L10" s="187">
        <v>30000</v>
      </c>
      <c r="M10" s="187">
        <v>17000</v>
      </c>
      <c r="N10" s="187">
        <v>0</v>
      </c>
      <c r="O10" s="187">
        <f t="shared" ref="O10:O15" si="1">SUM(M10:N10)</f>
        <v>17000</v>
      </c>
    </row>
    <row r="11" spans="1:15">
      <c r="A11" s="185">
        <v>4</v>
      </c>
      <c r="B11" s="186" t="s">
        <v>74</v>
      </c>
      <c r="C11" s="183" t="s">
        <v>263</v>
      </c>
      <c r="D11" s="187">
        <v>4000</v>
      </c>
      <c r="E11" s="187">
        <v>3500</v>
      </c>
      <c r="F11" s="187">
        <v>0</v>
      </c>
      <c r="G11" s="187">
        <f t="shared" si="0"/>
        <v>3500</v>
      </c>
      <c r="H11" s="187">
        <v>3000</v>
      </c>
      <c r="I11" s="187">
        <v>3000</v>
      </c>
      <c r="J11" s="187">
        <v>3000</v>
      </c>
      <c r="K11" s="187">
        <v>2500</v>
      </c>
      <c r="L11" s="187">
        <v>2500</v>
      </c>
      <c r="M11" s="187">
        <v>2500</v>
      </c>
      <c r="N11" s="187">
        <v>0</v>
      </c>
      <c r="O11" s="187">
        <f t="shared" si="1"/>
        <v>2500</v>
      </c>
    </row>
    <row r="12" spans="1:15">
      <c r="A12" s="185">
        <v>5</v>
      </c>
      <c r="B12" s="186" t="s">
        <v>75</v>
      </c>
      <c r="C12" s="183" t="s">
        <v>264</v>
      </c>
      <c r="D12" s="187">
        <v>22000</v>
      </c>
      <c r="E12" s="187">
        <v>22000</v>
      </c>
      <c r="F12" s="187">
        <v>0</v>
      </c>
      <c r="G12" s="187">
        <f t="shared" si="0"/>
        <v>22000</v>
      </c>
      <c r="H12" s="187">
        <v>30000</v>
      </c>
      <c r="I12" s="187">
        <v>23000</v>
      </c>
      <c r="J12" s="187">
        <v>33000</v>
      </c>
      <c r="K12" s="187">
        <v>150</v>
      </c>
      <c r="L12" s="187">
        <v>30150</v>
      </c>
      <c r="M12" s="187">
        <v>30150</v>
      </c>
      <c r="N12" s="187">
        <v>0</v>
      </c>
      <c r="O12" s="187">
        <f t="shared" si="1"/>
        <v>30150</v>
      </c>
    </row>
    <row r="13" spans="1:15">
      <c r="A13" s="185">
        <v>6</v>
      </c>
      <c r="B13" s="186" t="s">
        <v>76</v>
      </c>
      <c r="C13" s="183" t="s">
        <v>265</v>
      </c>
      <c r="D13" s="187">
        <v>20000</v>
      </c>
      <c r="E13" s="187">
        <v>23000</v>
      </c>
      <c r="F13" s="187">
        <v>0</v>
      </c>
      <c r="G13" s="187">
        <f t="shared" si="0"/>
        <v>23000</v>
      </c>
      <c r="H13" s="187">
        <v>20000</v>
      </c>
      <c r="I13" s="187">
        <v>20000</v>
      </c>
      <c r="J13" s="187">
        <v>20000</v>
      </c>
      <c r="K13" s="187">
        <v>20000</v>
      </c>
      <c r="L13" s="187">
        <v>20000</v>
      </c>
      <c r="M13" s="187">
        <v>20000</v>
      </c>
      <c r="N13" s="187">
        <v>0</v>
      </c>
      <c r="O13" s="187">
        <f t="shared" si="1"/>
        <v>20000</v>
      </c>
    </row>
    <row r="14" spans="1:15">
      <c r="A14" s="185">
        <v>7</v>
      </c>
      <c r="B14" s="186" t="s">
        <v>77</v>
      </c>
      <c r="C14" s="183" t="s">
        <v>266</v>
      </c>
      <c r="D14" s="187">
        <v>21000</v>
      </c>
      <c r="E14" s="187">
        <v>18000</v>
      </c>
      <c r="F14" s="187">
        <v>0</v>
      </c>
      <c r="G14" s="187">
        <f t="shared" si="0"/>
        <v>18000</v>
      </c>
      <c r="H14" s="187">
        <v>18000</v>
      </c>
      <c r="I14" s="187">
        <v>12000</v>
      </c>
      <c r="J14" s="187">
        <v>12000</v>
      </c>
      <c r="K14" s="187">
        <v>12000</v>
      </c>
      <c r="L14" s="187">
        <v>12000</v>
      </c>
      <c r="M14" s="187">
        <v>16000</v>
      </c>
      <c r="N14" s="187">
        <v>0</v>
      </c>
      <c r="O14" s="187">
        <f t="shared" si="1"/>
        <v>16000</v>
      </c>
    </row>
    <row r="15" spans="1:15">
      <c r="A15" s="185">
        <v>8</v>
      </c>
      <c r="B15" s="186" t="s">
        <v>78</v>
      </c>
      <c r="C15" s="183" t="s">
        <v>268</v>
      </c>
      <c r="D15" s="187">
        <v>66000</v>
      </c>
      <c r="E15" s="187">
        <v>68000</v>
      </c>
      <c r="F15" s="187">
        <v>0</v>
      </c>
      <c r="G15" s="187">
        <f t="shared" si="0"/>
        <v>68000</v>
      </c>
      <c r="H15" s="187">
        <v>34000</v>
      </c>
      <c r="I15" s="187">
        <v>34000</v>
      </c>
      <c r="J15" s="187">
        <v>100000</v>
      </c>
      <c r="K15" s="187">
        <v>0</v>
      </c>
      <c r="L15" s="187">
        <v>78000</v>
      </c>
      <c r="M15" s="187">
        <v>75000</v>
      </c>
      <c r="N15" s="187">
        <v>1170</v>
      </c>
      <c r="O15" s="187">
        <f t="shared" si="1"/>
        <v>76170</v>
      </c>
    </row>
    <row r="16" spans="1:15">
      <c r="A16" s="185">
        <v>9</v>
      </c>
      <c r="B16" s="186" t="s">
        <v>79</v>
      </c>
      <c r="C16" s="188" t="s">
        <v>19</v>
      </c>
      <c r="D16" s="189">
        <f>SUM(D9:D15)</f>
        <v>142000</v>
      </c>
      <c r="E16" s="189">
        <f>SUM(E9:E15)</f>
        <v>143000</v>
      </c>
      <c r="F16" s="189" t="e">
        <f>#REF!</f>
        <v>#REF!</v>
      </c>
      <c r="G16" s="189">
        <f t="shared" ref="G16:O16" si="2">SUM(G9:G15)</f>
        <v>143000</v>
      </c>
      <c r="H16" s="189">
        <f t="shared" si="2"/>
        <v>114500</v>
      </c>
      <c r="I16" s="190">
        <f t="shared" si="2"/>
        <v>99000</v>
      </c>
      <c r="J16" s="190">
        <f t="shared" si="2"/>
        <v>179000</v>
      </c>
      <c r="K16" s="190">
        <f t="shared" si="2"/>
        <v>98650</v>
      </c>
      <c r="L16" s="190">
        <f t="shared" si="2"/>
        <v>176650</v>
      </c>
      <c r="M16" s="190">
        <f t="shared" si="2"/>
        <v>166650</v>
      </c>
      <c r="N16" s="190">
        <f t="shared" si="2"/>
        <v>1170</v>
      </c>
      <c r="O16" s="190">
        <f t="shared" si="2"/>
        <v>167820</v>
      </c>
    </row>
    <row r="17" spans="1:15">
      <c r="A17" s="919" t="s">
        <v>646</v>
      </c>
      <c r="B17" s="919"/>
      <c r="C17" s="919"/>
      <c r="D17" s="919"/>
      <c r="E17" s="919"/>
      <c r="F17" s="919"/>
      <c r="G17" s="919"/>
      <c r="H17" s="919"/>
      <c r="I17" s="919"/>
      <c r="J17" s="919"/>
      <c r="K17" s="919"/>
      <c r="L17" s="919"/>
      <c r="M17" s="919"/>
      <c r="N17" s="919"/>
      <c r="O17" s="919"/>
    </row>
    <row r="18" spans="1:15">
      <c r="B18" s="191"/>
      <c r="C18" s="191"/>
      <c r="D18" s="191"/>
      <c r="E18" s="191"/>
      <c r="F18" s="191"/>
      <c r="G18" s="191"/>
    </row>
    <row r="19" spans="1:15">
      <c r="H19" s="181" t="s">
        <v>420</v>
      </c>
      <c r="I19" s="192" t="e">
        <f>I16-#REF!</f>
        <v>#REF!</v>
      </c>
      <c r="J19" s="192" t="e">
        <f>J16-#REF!</f>
        <v>#REF!</v>
      </c>
      <c r="K19" s="192" t="e">
        <f>K16-#REF!</f>
        <v>#REF!</v>
      </c>
      <c r="L19" s="192" t="e">
        <f>L16-#REF!</f>
        <v>#REF!</v>
      </c>
      <c r="M19" s="192" t="e">
        <f>M16-#REF!</f>
        <v>#REF!</v>
      </c>
      <c r="N19" s="192" t="e">
        <f>N16-#REF!</f>
        <v>#REF!</v>
      </c>
      <c r="O19" s="192" t="e">
        <f>O16-#REF!</f>
        <v>#REF!</v>
      </c>
    </row>
  </sheetData>
  <mergeCells count="20">
    <mergeCell ref="L6:L8"/>
    <mergeCell ref="M6:M8"/>
    <mergeCell ref="N6:N8"/>
    <mergeCell ref="O6:O8"/>
    <mergeCell ref="A17:O17"/>
    <mergeCell ref="F6:F8"/>
    <mergeCell ref="G6:G8"/>
    <mergeCell ref="H6:H8"/>
    <mergeCell ref="I6:I8"/>
    <mergeCell ref="J6:J8"/>
    <mergeCell ref="K6:K8"/>
    <mergeCell ref="A1:O1"/>
    <mergeCell ref="A2:O2"/>
    <mergeCell ref="E3:G3"/>
    <mergeCell ref="L4:O4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3939-931A-49D7-A701-BFC9C914FB12}">
  <dimension ref="A1:X95"/>
  <sheetViews>
    <sheetView view="pageBreakPreview" topLeftCell="A57" zoomScale="60" zoomScaleNormal="100" workbookViewId="0">
      <selection activeCell="A89" sqref="A89:X89"/>
    </sheetView>
  </sheetViews>
  <sheetFormatPr defaultColWidth="9.140625" defaultRowHeight="15"/>
  <cols>
    <col min="1" max="1" width="9.140625" style="645"/>
    <col min="2" max="2" width="9.140625" style="646"/>
    <col min="3" max="3" width="52.85546875" style="163" customWidth="1"/>
    <col min="4" max="4" width="15" style="163" hidden="1" customWidth="1"/>
    <col min="5" max="5" width="16.42578125" style="163" hidden="1" customWidth="1"/>
    <col min="6" max="6" width="18" style="163" hidden="1" customWidth="1"/>
    <col min="7" max="7" width="0.140625" style="163" hidden="1" customWidth="1"/>
    <col min="8" max="8" width="16.85546875" style="163" hidden="1" customWidth="1"/>
    <col min="9" max="9" width="13.85546875" style="163" hidden="1" customWidth="1"/>
    <col min="10" max="10" width="15.42578125" style="163" hidden="1" customWidth="1"/>
    <col min="11" max="11" width="14.42578125" style="163" hidden="1" customWidth="1"/>
    <col min="12" max="12" width="17" style="163" hidden="1" customWidth="1"/>
    <col min="13" max="13" width="16.42578125" style="163" hidden="1" customWidth="1"/>
    <col min="14" max="16" width="23.42578125" style="163" hidden="1" customWidth="1"/>
    <col min="17" max="17" width="17" style="163" customWidth="1"/>
    <col min="18" max="18" width="18" style="163" customWidth="1"/>
    <col min="19" max="19" width="16" style="163" hidden="1" customWidth="1"/>
    <col min="20" max="20" width="15.42578125" style="163" customWidth="1"/>
    <col min="21" max="21" width="14.140625" style="645" hidden="1" customWidth="1"/>
    <col min="22" max="22" width="15.140625" style="645" customWidth="1"/>
    <col min="23" max="23" width="14.140625" style="645" customWidth="1"/>
    <col min="24" max="24" width="15.140625" style="645" customWidth="1"/>
    <col min="25" max="16384" width="9.140625" style="163"/>
  </cols>
  <sheetData>
    <row r="1" spans="1:24" s="633" customFormat="1">
      <c r="A1" s="743" t="s">
        <v>647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743"/>
      <c r="U1" s="743"/>
      <c r="V1" s="743"/>
      <c r="W1" s="743"/>
      <c r="X1" s="743"/>
    </row>
    <row r="2" spans="1:24" ht="43.5" customHeight="1">
      <c r="A2" s="744" t="s">
        <v>539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  <c r="U2" s="744"/>
      <c r="V2" s="744"/>
      <c r="W2" s="744"/>
      <c r="X2" s="744"/>
    </row>
    <row r="3" spans="1:24" ht="15" customHeight="1">
      <c r="A3" s="745"/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</row>
    <row r="5" spans="1:24">
      <c r="C5" s="165"/>
      <c r="P5" s="165" t="s">
        <v>71</v>
      </c>
      <c r="Q5" s="165"/>
      <c r="R5" s="165" t="s">
        <v>71</v>
      </c>
      <c r="S5" s="165" t="s">
        <v>71</v>
      </c>
      <c r="T5" s="165"/>
      <c r="U5" s="746"/>
      <c r="V5" s="746"/>
      <c r="W5" s="746" t="s">
        <v>611</v>
      </c>
      <c r="X5" s="746"/>
    </row>
    <row r="6" spans="1:24" s="645" customFormat="1">
      <c r="A6" s="647"/>
      <c r="B6" s="648" t="s">
        <v>414</v>
      </c>
      <c r="C6" s="648" t="s">
        <v>415</v>
      </c>
      <c r="D6" s="648"/>
      <c r="E6" s="648"/>
      <c r="F6" s="648"/>
      <c r="G6" s="648"/>
      <c r="H6" s="648"/>
      <c r="I6" s="648"/>
      <c r="J6" s="648"/>
      <c r="K6" s="648"/>
      <c r="L6" s="648"/>
      <c r="M6" s="648" t="s">
        <v>416</v>
      </c>
      <c r="N6" s="648" t="s">
        <v>416</v>
      </c>
      <c r="O6" s="648" t="s">
        <v>416</v>
      </c>
      <c r="P6" s="648" t="s">
        <v>416</v>
      </c>
      <c r="Q6" s="648" t="s">
        <v>416</v>
      </c>
      <c r="R6" s="648" t="s">
        <v>417</v>
      </c>
      <c r="S6" s="648" t="s">
        <v>461</v>
      </c>
      <c r="T6" s="648" t="s">
        <v>461</v>
      </c>
      <c r="U6" s="648" t="s">
        <v>419</v>
      </c>
      <c r="V6" s="648" t="s">
        <v>419</v>
      </c>
      <c r="W6" s="648" t="s">
        <v>424</v>
      </c>
      <c r="X6" s="648" t="s">
        <v>425</v>
      </c>
    </row>
    <row r="7" spans="1:24" ht="14.25" customHeight="1">
      <c r="A7" s="747">
        <v>1</v>
      </c>
      <c r="B7" s="750" t="s">
        <v>58</v>
      </c>
      <c r="C7" s="753" t="s">
        <v>55</v>
      </c>
      <c r="D7" s="714" t="s">
        <v>104</v>
      </c>
      <c r="E7" s="754" t="s">
        <v>113</v>
      </c>
      <c r="F7" s="715" t="s">
        <v>109</v>
      </c>
      <c r="G7" s="759" t="s">
        <v>111</v>
      </c>
      <c r="H7" s="715" t="s">
        <v>115</v>
      </c>
      <c r="I7" s="714" t="s">
        <v>111</v>
      </c>
      <c r="J7" s="714" t="s">
        <v>256</v>
      </c>
      <c r="K7" s="740" t="s">
        <v>111</v>
      </c>
      <c r="L7" s="715" t="s">
        <v>260</v>
      </c>
      <c r="M7" s="715" t="s">
        <v>457</v>
      </c>
      <c r="N7" s="715" t="s">
        <v>460</v>
      </c>
      <c r="O7" s="715" t="s">
        <v>484</v>
      </c>
      <c r="P7" s="715" t="s">
        <v>501</v>
      </c>
      <c r="Q7" s="715" t="s">
        <v>536</v>
      </c>
      <c r="R7" s="721" t="s">
        <v>581</v>
      </c>
      <c r="S7" s="721" t="s">
        <v>111</v>
      </c>
      <c r="T7" s="721" t="s">
        <v>609</v>
      </c>
      <c r="U7" s="755" t="s">
        <v>111</v>
      </c>
      <c r="V7" s="755" t="s">
        <v>637</v>
      </c>
      <c r="W7" s="755" t="s">
        <v>111</v>
      </c>
      <c r="X7" s="755" t="s">
        <v>582</v>
      </c>
    </row>
    <row r="8" spans="1:24" ht="14.25" customHeight="1">
      <c r="A8" s="748"/>
      <c r="B8" s="751"/>
      <c r="C8" s="753"/>
      <c r="D8" s="714"/>
      <c r="E8" s="754"/>
      <c r="F8" s="716"/>
      <c r="G8" s="760"/>
      <c r="H8" s="716"/>
      <c r="I8" s="714"/>
      <c r="J8" s="714"/>
      <c r="K8" s="741"/>
      <c r="L8" s="716"/>
      <c r="M8" s="716"/>
      <c r="N8" s="716"/>
      <c r="O8" s="716"/>
      <c r="P8" s="716"/>
      <c r="Q8" s="716"/>
      <c r="R8" s="722"/>
      <c r="S8" s="722"/>
      <c r="T8" s="722"/>
      <c r="U8" s="756"/>
      <c r="V8" s="756"/>
      <c r="W8" s="756"/>
      <c r="X8" s="756"/>
    </row>
    <row r="9" spans="1:24" ht="54.75" customHeight="1">
      <c r="A9" s="749"/>
      <c r="B9" s="752"/>
      <c r="C9" s="753"/>
      <c r="D9" s="714"/>
      <c r="E9" s="754"/>
      <c r="F9" s="717"/>
      <c r="G9" s="761"/>
      <c r="H9" s="717"/>
      <c r="I9" s="714"/>
      <c r="J9" s="714"/>
      <c r="K9" s="742"/>
      <c r="L9" s="717"/>
      <c r="M9" s="717"/>
      <c r="N9" s="717"/>
      <c r="O9" s="717"/>
      <c r="P9" s="717"/>
      <c r="Q9" s="717"/>
      <c r="R9" s="723"/>
      <c r="S9" s="723"/>
      <c r="T9" s="723"/>
      <c r="U9" s="757"/>
      <c r="V9" s="757"/>
      <c r="W9" s="757"/>
      <c r="X9" s="757"/>
    </row>
    <row r="10" spans="1:24" ht="18" customHeight="1">
      <c r="A10" s="649">
        <v>2</v>
      </c>
      <c r="B10" s="650"/>
      <c r="C10" s="195" t="s">
        <v>59</v>
      </c>
      <c r="D10" s="13"/>
      <c r="E10" s="13"/>
      <c r="F10" s="196"/>
      <c r="G10" s="13"/>
      <c r="H10" s="13"/>
      <c r="I10" s="13"/>
      <c r="J10" s="13"/>
      <c r="K10" s="197"/>
      <c r="L10" s="197"/>
      <c r="M10" s="13"/>
      <c r="N10" s="13"/>
      <c r="O10" s="13"/>
      <c r="P10" s="13"/>
      <c r="Q10" s="13"/>
      <c r="R10" s="13"/>
      <c r="S10" s="13"/>
      <c r="T10" s="13"/>
      <c r="U10" s="647"/>
      <c r="V10" s="647"/>
      <c r="W10" s="647"/>
      <c r="X10" s="647"/>
    </row>
    <row r="11" spans="1:24" ht="18" customHeight="1">
      <c r="A11" s="649">
        <v>3</v>
      </c>
      <c r="B11" s="650" t="s">
        <v>72</v>
      </c>
      <c r="C11" s="170" t="s">
        <v>434</v>
      </c>
      <c r="D11" s="56"/>
      <c r="E11" s="14"/>
      <c r="F11" s="14"/>
      <c r="G11" s="14"/>
      <c r="H11" s="13"/>
      <c r="I11" s="13"/>
      <c r="J11" s="198"/>
      <c r="K11" s="14"/>
      <c r="L11" s="14"/>
      <c r="M11" s="14">
        <v>0</v>
      </c>
      <c r="N11" s="14">
        <v>430000</v>
      </c>
      <c r="O11" s="14">
        <v>500000</v>
      </c>
      <c r="P11" s="14">
        <v>500000</v>
      </c>
      <c r="Q11" s="14">
        <v>450000</v>
      </c>
      <c r="R11" s="14">
        <v>520000</v>
      </c>
      <c r="S11" s="14">
        <v>0</v>
      </c>
      <c r="T11" s="14">
        <f>SUM(R11:S11)</f>
        <v>520000</v>
      </c>
      <c r="U11" s="651">
        <v>0</v>
      </c>
      <c r="V11" s="651">
        <f>SUM(T11:U11)</f>
        <v>520000</v>
      </c>
      <c r="W11" s="651">
        <v>0</v>
      </c>
      <c r="X11" s="651">
        <f>SUM(V11:W11)</f>
        <v>520000</v>
      </c>
    </row>
    <row r="12" spans="1:24" ht="30.75" customHeight="1">
      <c r="A12" s="649">
        <v>4</v>
      </c>
      <c r="B12" s="650" t="s">
        <v>73</v>
      </c>
      <c r="C12" s="170" t="s">
        <v>540</v>
      </c>
      <c r="D12" s="56"/>
      <c r="E12" s="14"/>
      <c r="F12" s="14"/>
      <c r="G12" s="14"/>
      <c r="H12" s="13"/>
      <c r="I12" s="13"/>
      <c r="J12" s="198"/>
      <c r="K12" s="14"/>
      <c r="L12" s="14"/>
      <c r="M12" s="14"/>
      <c r="N12" s="14"/>
      <c r="O12" s="14"/>
      <c r="P12" s="14"/>
      <c r="Q12" s="14">
        <v>0</v>
      </c>
      <c r="R12" s="56">
        <v>6037</v>
      </c>
      <c r="S12" s="14">
        <v>0</v>
      </c>
      <c r="T12" s="14">
        <f t="shared" ref="T12:T57" si="0">SUM(R12:S12)</f>
        <v>6037</v>
      </c>
      <c r="U12" s="651">
        <v>0</v>
      </c>
      <c r="V12" s="651">
        <f t="shared" ref="V12:V57" si="1">SUM(T12:U12)</f>
        <v>6037</v>
      </c>
      <c r="W12" s="651">
        <v>0</v>
      </c>
      <c r="X12" s="651">
        <f t="shared" ref="X12:X42" si="2">SUM(V12:W12)</f>
        <v>6037</v>
      </c>
    </row>
    <row r="13" spans="1:24" ht="30.75" customHeight="1">
      <c r="A13" s="649">
        <v>5</v>
      </c>
      <c r="B13" s="650" t="s">
        <v>74</v>
      </c>
      <c r="C13" s="170" t="s">
        <v>612</v>
      </c>
      <c r="D13" s="56"/>
      <c r="E13" s="14"/>
      <c r="F13" s="14"/>
      <c r="G13" s="14"/>
      <c r="H13" s="13"/>
      <c r="I13" s="13"/>
      <c r="J13" s="198"/>
      <c r="K13" s="14"/>
      <c r="L13" s="14"/>
      <c r="M13" s="14"/>
      <c r="N13" s="14"/>
      <c r="O13" s="14"/>
      <c r="P13" s="14"/>
      <c r="Q13" s="14">
        <v>0</v>
      </c>
      <c r="R13" s="56">
        <v>0</v>
      </c>
      <c r="S13" s="14"/>
      <c r="T13" s="14">
        <v>0</v>
      </c>
      <c r="U13" s="651">
        <v>7959</v>
      </c>
      <c r="V13" s="651">
        <f t="shared" si="1"/>
        <v>7959</v>
      </c>
      <c r="W13" s="651">
        <v>0</v>
      </c>
      <c r="X13" s="651">
        <f t="shared" si="2"/>
        <v>7959</v>
      </c>
    </row>
    <row r="14" spans="1:24" ht="33.75" customHeight="1">
      <c r="A14" s="649">
        <v>6</v>
      </c>
      <c r="B14" s="650" t="s">
        <v>75</v>
      </c>
      <c r="C14" s="170" t="s">
        <v>413</v>
      </c>
      <c r="D14" s="56">
        <v>24500</v>
      </c>
      <c r="E14" s="14">
        <v>38931</v>
      </c>
      <c r="F14" s="14">
        <v>36000</v>
      </c>
      <c r="G14" s="13">
        <v>0</v>
      </c>
      <c r="H14" s="13">
        <v>36000</v>
      </c>
      <c r="I14" s="13">
        <f t="shared" ref="I14:I23" si="3">+J14-H14</f>
        <v>0</v>
      </c>
      <c r="J14" s="198">
        <v>36000</v>
      </c>
      <c r="K14" s="14">
        <v>0</v>
      </c>
      <c r="L14" s="14">
        <v>36000</v>
      </c>
      <c r="M14" s="14">
        <v>36500</v>
      </c>
      <c r="N14" s="14">
        <v>0</v>
      </c>
      <c r="O14" s="14">
        <v>61000</v>
      </c>
      <c r="P14" s="14">
        <v>0</v>
      </c>
      <c r="Q14" s="14">
        <v>39000</v>
      </c>
      <c r="R14" s="14">
        <v>0</v>
      </c>
      <c r="S14" s="14">
        <v>0</v>
      </c>
      <c r="T14" s="14">
        <f t="shared" si="0"/>
        <v>0</v>
      </c>
      <c r="U14" s="651">
        <v>0</v>
      </c>
      <c r="V14" s="651">
        <f t="shared" si="1"/>
        <v>0</v>
      </c>
      <c r="W14" s="651">
        <v>0</v>
      </c>
      <c r="X14" s="651">
        <f t="shared" si="2"/>
        <v>0</v>
      </c>
    </row>
    <row r="15" spans="1:24" ht="30">
      <c r="A15" s="649">
        <v>7</v>
      </c>
      <c r="B15" s="650" t="s">
        <v>76</v>
      </c>
      <c r="C15" s="170" t="s">
        <v>410</v>
      </c>
      <c r="D15" s="14">
        <v>14500</v>
      </c>
      <c r="E15" s="14">
        <v>14500</v>
      </c>
      <c r="F15" s="14">
        <v>30500</v>
      </c>
      <c r="G15" s="13">
        <v>0</v>
      </c>
      <c r="H15" s="13">
        <v>30500</v>
      </c>
      <c r="I15" s="13">
        <f t="shared" si="3"/>
        <v>0</v>
      </c>
      <c r="J15" s="199">
        <v>30500</v>
      </c>
      <c r="K15" s="14">
        <v>0</v>
      </c>
      <c r="L15" s="14">
        <v>30500</v>
      </c>
      <c r="M15" s="14">
        <v>16000</v>
      </c>
      <c r="N15" s="14">
        <v>8000</v>
      </c>
      <c r="O15" s="14">
        <v>16000</v>
      </c>
      <c r="P15" s="14">
        <v>0</v>
      </c>
      <c r="Q15" s="14">
        <v>24000</v>
      </c>
      <c r="R15" s="14">
        <v>24000</v>
      </c>
      <c r="S15" s="14">
        <v>0</v>
      </c>
      <c r="T15" s="14">
        <f t="shared" si="0"/>
        <v>24000</v>
      </c>
      <c r="U15" s="651">
        <v>2156</v>
      </c>
      <c r="V15" s="651">
        <f t="shared" si="1"/>
        <v>26156</v>
      </c>
      <c r="W15" s="651">
        <v>0</v>
      </c>
      <c r="X15" s="651">
        <f t="shared" si="2"/>
        <v>26156</v>
      </c>
    </row>
    <row r="16" spans="1:24" ht="30">
      <c r="A16" s="649">
        <v>8</v>
      </c>
      <c r="B16" s="650" t="s">
        <v>77</v>
      </c>
      <c r="C16" s="170" t="s">
        <v>512</v>
      </c>
      <c r="D16" s="14"/>
      <c r="E16" s="14"/>
      <c r="F16" s="14">
        <v>0</v>
      </c>
      <c r="G16" s="13"/>
      <c r="H16" s="13"/>
      <c r="I16" s="13"/>
      <c r="J16" s="199"/>
      <c r="K16" s="14"/>
      <c r="L16" s="14">
        <v>0</v>
      </c>
      <c r="M16" s="14">
        <v>30000</v>
      </c>
      <c r="N16" s="14">
        <v>30000</v>
      </c>
      <c r="O16" s="14">
        <v>36000</v>
      </c>
      <c r="P16" s="14">
        <v>0</v>
      </c>
      <c r="Q16" s="14">
        <v>10000</v>
      </c>
      <c r="R16" s="14">
        <v>0</v>
      </c>
      <c r="S16" s="14">
        <v>0</v>
      </c>
      <c r="T16" s="14">
        <f t="shared" si="0"/>
        <v>0</v>
      </c>
      <c r="U16" s="651">
        <v>0</v>
      </c>
      <c r="V16" s="651">
        <f t="shared" si="1"/>
        <v>0</v>
      </c>
      <c r="W16" s="651">
        <v>0</v>
      </c>
      <c r="X16" s="651">
        <f t="shared" si="2"/>
        <v>0</v>
      </c>
    </row>
    <row r="17" spans="1:24" ht="18" customHeight="1">
      <c r="A17" s="649">
        <v>9</v>
      </c>
      <c r="B17" s="650" t="s">
        <v>78</v>
      </c>
      <c r="C17" s="170" t="s">
        <v>479</v>
      </c>
      <c r="D17" s="14">
        <v>1500</v>
      </c>
      <c r="E17" s="14">
        <v>1500</v>
      </c>
      <c r="F17" s="14">
        <v>1500</v>
      </c>
      <c r="G17" s="13">
        <v>0</v>
      </c>
      <c r="H17" s="13">
        <v>1500</v>
      </c>
      <c r="I17" s="13">
        <f t="shared" si="3"/>
        <v>0</v>
      </c>
      <c r="J17" s="199">
        <v>1500</v>
      </c>
      <c r="K17" s="14">
        <v>0</v>
      </c>
      <c r="L17" s="14">
        <v>1500</v>
      </c>
      <c r="M17" s="14">
        <v>1800</v>
      </c>
      <c r="N17" s="14">
        <v>0</v>
      </c>
      <c r="O17" s="14">
        <v>2000</v>
      </c>
      <c r="P17" s="14">
        <v>0</v>
      </c>
      <c r="Q17" s="14">
        <v>2000</v>
      </c>
      <c r="R17" s="14">
        <v>0</v>
      </c>
      <c r="S17" s="14">
        <v>0</v>
      </c>
      <c r="T17" s="14">
        <f t="shared" si="0"/>
        <v>0</v>
      </c>
      <c r="U17" s="651">
        <v>0</v>
      </c>
      <c r="V17" s="651">
        <f t="shared" si="1"/>
        <v>0</v>
      </c>
      <c r="W17" s="651">
        <v>0</v>
      </c>
      <c r="X17" s="651">
        <f t="shared" si="2"/>
        <v>0</v>
      </c>
    </row>
    <row r="18" spans="1:24" ht="18" customHeight="1">
      <c r="A18" s="649">
        <v>10</v>
      </c>
      <c r="B18" s="650" t="s">
        <v>79</v>
      </c>
      <c r="C18" s="170" t="s">
        <v>99</v>
      </c>
      <c r="D18" s="14">
        <v>2000</v>
      </c>
      <c r="E18" s="14">
        <v>0</v>
      </c>
      <c r="F18" s="14">
        <v>2000</v>
      </c>
      <c r="G18" s="13">
        <v>0</v>
      </c>
      <c r="H18" s="13">
        <v>2000</v>
      </c>
      <c r="I18" s="13">
        <f t="shared" si="3"/>
        <v>0</v>
      </c>
      <c r="J18" s="199">
        <v>2000</v>
      </c>
      <c r="K18" s="14">
        <v>0</v>
      </c>
      <c r="L18" s="14">
        <v>2000</v>
      </c>
      <c r="M18" s="14">
        <v>2000</v>
      </c>
      <c r="N18" s="14">
        <v>2000</v>
      </c>
      <c r="O18" s="14">
        <v>2000</v>
      </c>
      <c r="P18" s="14">
        <v>2000</v>
      </c>
      <c r="Q18" s="14">
        <v>2000</v>
      </c>
      <c r="R18" s="14">
        <v>2000</v>
      </c>
      <c r="S18" s="14">
        <v>0</v>
      </c>
      <c r="T18" s="14">
        <f t="shared" si="0"/>
        <v>2000</v>
      </c>
      <c r="U18" s="651">
        <v>0</v>
      </c>
      <c r="V18" s="651">
        <f t="shared" si="1"/>
        <v>2000</v>
      </c>
      <c r="W18" s="651">
        <v>0</v>
      </c>
      <c r="X18" s="651">
        <f t="shared" si="2"/>
        <v>2000</v>
      </c>
    </row>
    <row r="19" spans="1:24" ht="18" customHeight="1">
      <c r="A19" s="649">
        <v>11</v>
      </c>
      <c r="B19" s="650" t="s">
        <v>80</v>
      </c>
      <c r="C19" s="170" t="s">
        <v>499</v>
      </c>
      <c r="D19" s="14">
        <v>500</v>
      </c>
      <c r="E19" s="14">
        <v>0</v>
      </c>
      <c r="F19" s="14">
        <v>500</v>
      </c>
      <c r="G19" s="13">
        <v>0</v>
      </c>
      <c r="H19" s="13">
        <v>500</v>
      </c>
      <c r="I19" s="13">
        <f t="shared" si="3"/>
        <v>0</v>
      </c>
      <c r="J19" s="199">
        <v>500</v>
      </c>
      <c r="K19" s="14">
        <v>0</v>
      </c>
      <c r="L19" s="14">
        <v>500</v>
      </c>
      <c r="M19" s="14">
        <v>500</v>
      </c>
      <c r="N19" s="14">
        <v>500</v>
      </c>
      <c r="O19" s="14">
        <v>1000</v>
      </c>
      <c r="P19" s="14">
        <v>1000</v>
      </c>
      <c r="Q19" s="14">
        <v>1000</v>
      </c>
      <c r="R19" s="14">
        <v>1000</v>
      </c>
      <c r="S19" s="14">
        <v>0</v>
      </c>
      <c r="T19" s="14">
        <f t="shared" si="0"/>
        <v>1000</v>
      </c>
      <c r="U19" s="651">
        <v>0</v>
      </c>
      <c r="V19" s="651">
        <f t="shared" si="1"/>
        <v>1000</v>
      </c>
      <c r="W19" s="651">
        <v>0</v>
      </c>
      <c r="X19" s="651">
        <f t="shared" si="2"/>
        <v>1000</v>
      </c>
    </row>
    <row r="20" spans="1:24" ht="18" customHeight="1">
      <c r="A20" s="649">
        <v>12</v>
      </c>
      <c r="B20" s="650" t="s">
        <v>81</v>
      </c>
      <c r="C20" s="170" t="s">
        <v>98</v>
      </c>
      <c r="D20" s="14">
        <v>500</v>
      </c>
      <c r="E20" s="14">
        <v>0</v>
      </c>
      <c r="F20" s="14">
        <v>500</v>
      </c>
      <c r="G20" s="13">
        <v>0</v>
      </c>
      <c r="H20" s="13">
        <v>500</v>
      </c>
      <c r="I20" s="13">
        <f t="shared" si="3"/>
        <v>0</v>
      </c>
      <c r="J20" s="199">
        <v>500</v>
      </c>
      <c r="K20" s="14">
        <v>0</v>
      </c>
      <c r="L20" s="14">
        <v>500</v>
      </c>
      <c r="M20" s="14">
        <v>500</v>
      </c>
      <c r="N20" s="14">
        <v>500</v>
      </c>
      <c r="O20" s="14">
        <v>1000</v>
      </c>
      <c r="P20" s="14">
        <v>1000</v>
      </c>
      <c r="Q20" s="14">
        <v>1000</v>
      </c>
      <c r="R20" s="14">
        <v>1000</v>
      </c>
      <c r="S20" s="14">
        <v>0</v>
      </c>
      <c r="T20" s="14">
        <f t="shared" si="0"/>
        <v>1000</v>
      </c>
      <c r="U20" s="651">
        <v>0</v>
      </c>
      <c r="V20" s="651">
        <f t="shared" si="1"/>
        <v>1000</v>
      </c>
      <c r="W20" s="651">
        <v>0</v>
      </c>
      <c r="X20" s="651">
        <f t="shared" si="2"/>
        <v>1000</v>
      </c>
    </row>
    <row r="21" spans="1:24" ht="18" customHeight="1">
      <c r="A21" s="649">
        <v>13</v>
      </c>
      <c r="B21" s="650" t="s">
        <v>82</v>
      </c>
      <c r="C21" s="170" t="s">
        <v>465</v>
      </c>
      <c r="D21" s="56">
        <v>600</v>
      </c>
      <c r="E21" s="14">
        <v>600</v>
      </c>
      <c r="F21" s="14">
        <v>500</v>
      </c>
      <c r="G21" s="13">
        <v>0</v>
      </c>
      <c r="H21" s="13">
        <v>500</v>
      </c>
      <c r="I21" s="13">
        <f t="shared" si="3"/>
        <v>0</v>
      </c>
      <c r="J21" s="198">
        <v>500</v>
      </c>
      <c r="K21" s="14">
        <v>0</v>
      </c>
      <c r="L21" s="14">
        <v>500</v>
      </c>
      <c r="M21" s="14">
        <v>0</v>
      </c>
      <c r="N21" s="14">
        <v>0</v>
      </c>
      <c r="O21" s="14">
        <v>1000</v>
      </c>
      <c r="P21" s="14">
        <v>1000</v>
      </c>
      <c r="Q21" s="14">
        <v>1000</v>
      </c>
      <c r="R21" s="14">
        <v>1000</v>
      </c>
      <c r="S21" s="14">
        <v>0</v>
      </c>
      <c r="T21" s="14">
        <f t="shared" si="0"/>
        <v>1000</v>
      </c>
      <c r="U21" s="651">
        <v>0</v>
      </c>
      <c r="V21" s="651">
        <f t="shared" si="1"/>
        <v>1000</v>
      </c>
      <c r="W21" s="651">
        <v>0</v>
      </c>
      <c r="X21" s="651">
        <f t="shared" si="2"/>
        <v>1000</v>
      </c>
    </row>
    <row r="22" spans="1:24" ht="18" customHeight="1">
      <c r="A22" s="649">
        <v>14</v>
      </c>
      <c r="B22" s="650" t="s">
        <v>83</v>
      </c>
      <c r="C22" s="170" t="s">
        <v>267</v>
      </c>
      <c r="D22" s="56">
        <v>9000</v>
      </c>
      <c r="E22" s="14">
        <v>18000</v>
      </c>
      <c r="F22" s="14">
        <v>9000</v>
      </c>
      <c r="G22" s="13">
        <v>0</v>
      </c>
      <c r="H22" s="13">
        <v>9000</v>
      </c>
      <c r="I22" s="13">
        <f t="shared" si="3"/>
        <v>0</v>
      </c>
      <c r="J22" s="198">
        <v>9000</v>
      </c>
      <c r="K22" s="14">
        <v>0</v>
      </c>
      <c r="L22" s="14">
        <v>9000</v>
      </c>
      <c r="M22" s="14">
        <v>0</v>
      </c>
      <c r="N22" s="14">
        <v>0</v>
      </c>
      <c r="O22" s="14">
        <v>8000</v>
      </c>
      <c r="P22" s="14">
        <v>8000</v>
      </c>
      <c r="Q22" s="14">
        <v>5500</v>
      </c>
      <c r="R22" s="14">
        <v>5000</v>
      </c>
      <c r="S22" s="14">
        <v>0</v>
      </c>
      <c r="T22" s="14">
        <f t="shared" si="0"/>
        <v>5000</v>
      </c>
      <c r="U22" s="651">
        <v>0</v>
      </c>
      <c r="V22" s="651">
        <f t="shared" si="1"/>
        <v>5000</v>
      </c>
      <c r="W22" s="651">
        <v>0</v>
      </c>
      <c r="X22" s="651">
        <f t="shared" si="2"/>
        <v>5000</v>
      </c>
    </row>
    <row r="23" spans="1:24" ht="18" customHeight="1">
      <c r="A23" s="649">
        <v>15</v>
      </c>
      <c r="B23" s="650" t="s">
        <v>84</v>
      </c>
      <c r="C23" s="170" t="s">
        <v>466</v>
      </c>
      <c r="D23" s="56">
        <v>5000</v>
      </c>
      <c r="E23" s="14">
        <v>5000</v>
      </c>
      <c r="F23" s="14">
        <v>5000</v>
      </c>
      <c r="G23" s="13">
        <v>0</v>
      </c>
      <c r="H23" s="13">
        <v>5000</v>
      </c>
      <c r="I23" s="13">
        <f t="shared" si="3"/>
        <v>0</v>
      </c>
      <c r="J23" s="198">
        <v>5000</v>
      </c>
      <c r="K23" s="14">
        <v>0</v>
      </c>
      <c r="L23" s="14">
        <v>5000</v>
      </c>
      <c r="M23" s="14">
        <v>5000</v>
      </c>
      <c r="N23" s="14">
        <v>0</v>
      </c>
      <c r="O23" s="14">
        <v>6400</v>
      </c>
      <c r="P23" s="14">
        <v>0</v>
      </c>
      <c r="Q23" s="14">
        <v>5000</v>
      </c>
      <c r="R23" s="14">
        <v>0</v>
      </c>
      <c r="S23" s="14">
        <v>0</v>
      </c>
      <c r="T23" s="14">
        <f t="shared" si="0"/>
        <v>0</v>
      </c>
      <c r="U23" s="651">
        <v>0</v>
      </c>
      <c r="V23" s="651">
        <f t="shared" si="1"/>
        <v>0</v>
      </c>
      <c r="W23" s="651">
        <v>0</v>
      </c>
      <c r="X23" s="651">
        <f t="shared" si="2"/>
        <v>0</v>
      </c>
    </row>
    <row r="24" spans="1:24" ht="18" customHeight="1">
      <c r="A24" s="649">
        <v>16</v>
      </c>
      <c r="B24" s="650" t="s">
        <v>85</v>
      </c>
      <c r="C24" s="170" t="s">
        <v>478</v>
      </c>
      <c r="D24" s="200"/>
      <c r="E24" s="200"/>
      <c r="F24" s="200"/>
      <c r="G24" s="13"/>
      <c r="H24" s="13"/>
      <c r="I24" s="13"/>
      <c r="J24" s="198"/>
      <c r="K24" s="14"/>
      <c r="L24" s="14"/>
      <c r="M24" s="14"/>
      <c r="N24" s="14">
        <v>0</v>
      </c>
      <c r="O24" s="14">
        <v>5000</v>
      </c>
      <c r="P24" s="14">
        <v>0</v>
      </c>
      <c r="Q24" s="14">
        <v>5000</v>
      </c>
      <c r="R24" s="14">
        <v>0</v>
      </c>
      <c r="S24" s="14">
        <v>5000</v>
      </c>
      <c r="T24" s="14">
        <f t="shared" si="0"/>
        <v>5000</v>
      </c>
      <c r="U24" s="651">
        <v>0</v>
      </c>
      <c r="V24" s="651">
        <f t="shared" si="1"/>
        <v>5000</v>
      </c>
      <c r="W24" s="651">
        <v>0</v>
      </c>
      <c r="X24" s="651">
        <f t="shared" si="2"/>
        <v>5000</v>
      </c>
    </row>
    <row r="25" spans="1:24" ht="18" customHeight="1">
      <c r="A25" s="649">
        <v>17</v>
      </c>
      <c r="B25" s="650" t="s">
        <v>86</v>
      </c>
      <c r="C25" s="170" t="s">
        <v>510</v>
      </c>
      <c r="D25" s="200"/>
      <c r="E25" s="200"/>
      <c r="F25" s="200"/>
      <c r="G25" s="13"/>
      <c r="H25" s="13"/>
      <c r="I25" s="13"/>
      <c r="J25" s="198"/>
      <c r="K25" s="14"/>
      <c r="L25" s="14"/>
      <c r="M25" s="14"/>
      <c r="N25" s="14">
        <v>0</v>
      </c>
      <c r="O25" s="14">
        <v>2000</v>
      </c>
      <c r="P25" s="14">
        <v>0</v>
      </c>
      <c r="Q25" s="14">
        <v>496</v>
      </c>
      <c r="R25" s="14">
        <v>0</v>
      </c>
      <c r="S25" s="14">
        <v>0</v>
      </c>
      <c r="T25" s="14">
        <f t="shared" si="0"/>
        <v>0</v>
      </c>
      <c r="U25" s="651">
        <v>37</v>
      </c>
      <c r="V25" s="651">
        <f t="shared" si="1"/>
        <v>37</v>
      </c>
      <c r="W25" s="651">
        <v>0</v>
      </c>
      <c r="X25" s="651">
        <f t="shared" si="2"/>
        <v>37</v>
      </c>
    </row>
    <row r="26" spans="1:24" ht="18" customHeight="1">
      <c r="A26" s="649">
        <v>18</v>
      </c>
      <c r="B26" s="650" t="s">
        <v>87</v>
      </c>
      <c r="C26" s="170" t="s">
        <v>467</v>
      </c>
      <c r="D26" s="200"/>
      <c r="E26" s="200"/>
      <c r="F26" s="200"/>
      <c r="G26" s="13"/>
      <c r="H26" s="13"/>
      <c r="I26" s="13"/>
      <c r="J26" s="198"/>
      <c r="K26" s="14"/>
      <c r="L26" s="14"/>
      <c r="M26" s="14"/>
      <c r="N26" s="14">
        <v>0</v>
      </c>
      <c r="O26" s="14">
        <v>27000</v>
      </c>
      <c r="P26" s="14">
        <v>21502</v>
      </c>
      <c r="Q26" s="14">
        <v>0</v>
      </c>
      <c r="R26" s="14">
        <v>74708</v>
      </c>
      <c r="S26" s="14">
        <v>0</v>
      </c>
      <c r="T26" s="14">
        <f t="shared" si="0"/>
        <v>74708</v>
      </c>
      <c r="U26" s="651">
        <v>0</v>
      </c>
      <c r="V26" s="651">
        <f t="shared" si="1"/>
        <v>74708</v>
      </c>
      <c r="W26" s="651">
        <v>0</v>
      </c>
      <c r="X26" s="651">
        <f t="shared" si="2"/>
        <v>74708</v>
      </c>
    </row>
    <row r="27" spans="1:24" ht="18" customHeight="1">
      <c r="A27" s="649">
        <v>19</v>
      </c>
      <c r="B27" s="650" t="s">
        <v>88</v>
      </c>
      <c r="C27" s="170" t="s">
        <v>468</v>
      </c>
      <c r="D27" s="200"/>
      <c r="E27" s="200"/>
      <c r="F27" s="200"/>
      <c r="G27" s="13"/>
      <c r="H27" s="13"/>
      <c r="I27" s="13"/>
      <c r="J27" s="198"/>
      <c r="K27" s="14"/>
      <c r="L27" s="14"/>
      <c r="M27" s="14"/>
      <c r="N27" s="14">
        <v>0</v>
      </c>
      <c r="O27" s="14">
        <v>15000</v>
      </c>
      <c r="P27" s="14">
        <v>45110</v>
      </c>
      <c r="Q27" s="14">
        <v>42000</v>
      </c>
      <c r="R27" s="14">
        <v>0</v>
      </c>
      <c r="S27" s="14">
        <v>0</v>
      </c>
      <c r="T27" s="14">
        <f t="shared" si="0"/>
        <v>0</v>
      </c>
      <c r="U27" s="651">
        <v>0</v>
      </c>
      <c r="V27" s="651">
        <f t="shared" si="1"/>
        <v>0</v>
      </c>
      <c r="W27" s="651">
        <v>0</v>
      </c>
      <c r="X27" s="651">
        <f t="shared" si="2"/>
        <v>0</v>
      </c>
    </row>
    <row r="28" spans="1:24" ht="18" customHeight="1">
      <c r="A28" s="649">
        <v>20</v>
      </c>
      <c r="B28" s="650" t="s">
        <v>89</v>
      </c>
      <c r="C28" s="170" t="s">
        <v>486</v>
      </c>
      <c r="D28" s="200"/>
      <c r="E28" s="200"/>
      <c r="F28" s="200"/>
      <c r="G28" s="13"/>
      <c r="H28" s="13"/>
      <c r="I28" s="13"/>
      <c r="J28" s="198"/>
      <c r="K28" s="14"/>
      <c r="L28" s="14"/>
      <c r="M28" s="14"/>
      <c r="N28" s="14"/>
      <c r="O28" s="14">
        <v>0</v>
      </c>
      <c r="P28" s="14">
        <v>11257</v>
      </c>
      <c r="Q28" s="14">
        <v>8173</v>
      </c>
      <c r="R28" s="14">
        <v>0</v>
      </c>
      <c r="S28" s="14">
        <v>0</v>
      </c>
      <c r="T28" s="14">
        <f t="shared" si="0"/>
        <v>0</v>
      </c>
      <c r="U28" s="651">
        <v>0</v>
      </c>
      <c r="V28" s="651">
        <f t="shared" si="1"/>
        <v>0</v>
      </c>
      <c r="W28" s="651">
        <v>0</v>
      </c>
      <c r="X28" s="651">
        <f t="shared" si="2"/>
        <v>0</v>
      </c>
    </row>
    <row r="29" spans="1:24" ht="30">
      <c r="A29" s="649">
        <v>21</v>
      </c>
      <c r="B29" s="650" t="s">
        <v>90</v>
      </c>
      <c r="C29" s="628" t="s">
        <v>590</v>
      </c>
      <c r="D29" s="200"/>
      <c r="E29" s="200"/>
      <c r="F29" s="200"/>
      <c r="G29" s="13"/>
      <c r="H29" s="13"/>
      <c r="I29" s="13"/>
      <c r="J29" s="198"/>
      <c r="K29" s="14"/>
      <c r="L29" s="14"/>
      <c r="M29" s="14"/>
      <c r="N29" s="14"/>
      <c r="O29" s="14"/>
      <c r="P29" s="14"/>
      <c r="Q29" s="14">
        <v>0</v>
      </c>
      <c r="R29" s="14">
        <v>0</v>
      </c>
      <c r="S29" s="14">
        <v>2819</v>
      </c>
      <c r="T29" s="14">
        <f t="shared" si="0"/>
        <v>2819</v>
      </c>
      <c r="U29" s="651">
        <v>0</v>
      </c>
      <c r="V29" s="651">
        <f t="shared" si="1"/>
        <v>2819</v>
      </c>
      <c r="W29" s="651">
        <v>0</v>
      </c>
      <c r="X29" s="651">
        <f t="shared" si="2"/>
        <v>2819</v>
      </c>
    </row>
    <row r="30" spans="1:24" ht="18" customHeight="1">
      <c r="A30" s="649">
        <v>22</v>
      </c>
      <c r="B30" s="650" t="s">
        <v>91</v>
      </c>
      <c r="C30" s="170" t="s">
        <v>591</v>
      </c>
      <c r="D30" s="200"/>
      <c r="E30" s="200"/>
      <c r="F30" s="200"/>
      <c r="G30" s="13"/>
      <c r="H30" s="13"/>
      <c r="I30" s="13"/>
      <c r="J30" s="198"/>
      <c r="K30" s="14"/>
      <c r="L30" s="14"/>
      <c r="M30" s="14"/>
      <c r="N30" s="14"/>
      <c r="O30" s="14"/>
      <c r="P30" s="14"/>
      <c r="Q30" s="14">
        <v>0</v>
      </c>
      <c r="R30" s="14">
        <v>0</v>
      </c>
      <c r="S30" s="14">
        <v>800</v>
      </c>
      <c r="T30" s="14">
        <f t="shared" si="0"/>
        <v>800</v>
      </c>
      <c r="U30" s="651">
        <v>0</v>
      </c>
      <c r="V30" s="651">
        <f t="shared" si="1"/>
        <v>800</v>
      </c>
      <c r="W30" s="651">
        <v>0</v>
      </c>
      <c r="X30" s="651">
        <f t="shared" si="2"/>
        <v>800</v>
      </c>
    </row>
    <row r="31" spans="1:24" ht="18" customHeight="1">
      <c r="A31" s="649">
        <v>23</v>
      </c>
      <c r="B31" s="650" t="s">
        <v>92</v>
      </c>
      <c r="C31" s="170" t="s">
        <v>592</v>
      </c>
      <c r="D31" s="200"/>
      <c r="E31" s="200"/>
      <c r="F31" s="200"/>
      <c r="G31" s="13"/>
      <c r="H31" s="13"/>
      <c r="I31" s="13"/>
      <c r="J31" s="198"/>
      <c r="K31" s="14"/>
      <c r="L31" s="14"/>
      <c r="M31" s="14"/>
      <c r="N31" s="14"/>
      <c r="O31" s="14"/>
      <c r="P31" s="14"/>
      <c r="Q31" s="14">
        <v>0</v>
      </c>
      <c r="R31" s="14">
        <v>0</v>
      </c>
      <c r="S31" s="14">
        <v>59</v>
      </c>
      <c r="T31" s="14">
        <f t="shared" si="0"/>
        <v>59</v>
      </c>
      <c r="U31" s="651">
        <v>0</v>
      </c>
      <c r="V31" s="651">
        <f t="shared" si="1"/>
        <v>59</v>
      </c>
      <c r="W31" s="651">
        <v>0</v>
      </c>
      <c r="X31" s="651">
        <f t="shared" si="2"/>
        <v>59</v>
      </c>
    </row>
    <row r="32" spans="1:24" ht="18" customHeight="1">
      <c r="A32" s="649">
        <v>24</v>
      </c>
      <c r="B32" s="650" t="s">
        <v>95</v>
      </c>
      <c r="C32" s="170" t="s">
        <v>593</v>
      </c>
      <c r="D32" s="200"/>
      <c r="E32" s="200"/>
      <c r="F32" s="200"/>
      <c r="G32" s="13"/>
      <c r="H32" s="13"/>
      <c r="I32" s="13"/>
      <c r="J32" s="198"/>
      <c r="K32" s="14"/>
      <c r="L32" s="14"/>
      <c r="M32" s="14"/>
      <c r="N32" s="14"/>
      <c r="O32" s="14"/>
      <c r="P32" s="14"/>
      <c r="Q32" s="14">
        <v>0</v>
      </c>
      <c r="R32" s="14">
        <v>0</v>
      </c>
      <c r="S32" s="14">
        <v>59</v>
      </c>
      <c r="T32" s="14">
        <f t="shared" si="0"/>
        <v>59</v>
      </c>
      <c r="U32" s="651">
        <v>0</v>
      </c>
      <c r="V32" s="651">
        <f t="shared" si="1"/>
        <v>59</v>
      </c>
      <c r="W32" s="651">
        <v>0</v>
      </c>
      <c r="X32" s="651">
        <f t="shared" si="2"/>
        <v>59</v>
      </c>
    </row>
    <row r="33" spans="1:24" ht="18" customHeight="1">
      <c r="A33" s="649">
        <v>25</v>
      </c>
      <c r="B33" s="650" t="s">
        <v>96</v>
      </c>
      <c r="C33" s="170" t="s">
        <v>594</v>
      </c>
      <c r="D33" s="200"/>
      <c r="E33" s="200"/>
      <c r="F33" s="200"/>
      <c r="G33" s="13"/>
      <c r="H33" s="13"/>
      <c r="I33" s="13"/>
      <c r="J33" s="198"/>
      <c r="K33" s="14"/>
      <c r="L33" s="14"/>
      <c r="M33" s="14"/>
      <c r="N33" s="14"/>
      <c r="O33" s="14"/>
      <c r="P33" s="14"/>
      <c r="Q33" s="14">
        <v>0</v>
      </c>
      <c r="R33" s="14">
        <v>0</v>
      </c>
      <c r="S33" s="14">
        <v>100</v>
      </c>
      <c r="T33" s="14">
        <f t="shared" si="0"/>
        <v>100</v>
      </c>
      <c r="U33" s="651">
        <v>0</v>
      </c>
      <c r="V33" s="651">
        <f t="shared" si="1"/>
        <v>100</v>
      </c>
      <c r="W33" s="651">
        <v>0</v>
      </c>
      <c r="X33" s="651">
        <f t="shared" si="2"/>
        <v>100</v>
      </c>
    </row>
    <row r="34" spans="1:24" ht="18" customHeight="1">
      <c r="A34" s="649">
        <v>26</v>
      </c>
      <c r="B34" s="650" t="s">
        <v>447</v>
      </c>
      <c r="C34" s="170" t="s">
        <v>595</v>
      </c>
      <c r="D34" s="200"/>
      <c r="E34" s="200"/>
      <c r="F34" s="200"/>
      <c r="G34" s="13"/>
      <c r="H34" s="13"/>
      <c r="I34" s="13"/>
      <c r="J34" s="198"/>
      <c r="K34" s="14"/>
      <c r="L34" s="14"/>
      <c r="M34" s="14"/>
      <c r="N34" s="14"/>
      <c r="O34" s="14"/>
      <c r="P34" s="14"/>
      <c r="Q34" s="14">
        <v>0</v>
      </c>
      <c r="R34" s="14">
        <v>0</v>
      </c>
      <c r="S34" s="14">
        <v>100</v>
      </c>
      <c r="T34" s="14">
        <f t="shared" si="0"/>
        <v>100</v>
      </c>
      <c r="U34" s="651">
        <v>0</v>
      </c>
      <c r="V34" s="651">
        <f t="shared" si="1"/>
        <v>100</v>
      </c>
      <c r="W34" s="651">
        <v>0</v>
      </c>
      <c r="X34" s="651">
        <f t="shared" si="2"/>
        <v>100</v>
      </c>
    </row>
    <row r="35" spans="1:24" ht="18" customHeight="1">
      <c r="A35" s="649">
        <v>27</v>
      </c>
      <c r="B35" s="650" t="s">
        <v>448</v>
      </c>
      <c r="C35" s="170" t="s">
        <v>596</v>
      </c>
      <c r="D35" s="200"/>
      <c r="E35" s="200"/>
      <c r="F35" s="200"/>
      <c r="G35" s="13"/>
      <c r="H35" s="13"/>
      <c r="I35" s="13"/>
      <c r="J35" s="198"/>
      <c r="K35" s="14"/>
      <c r="L35" s="14"/>
      <c r="M35" s="14"/>
      <c r="N35" s="14"/>
      <c r="O35" s="14"/>
      <c r="P35" s="14"/>
      <c r="Q35" s="14">
        <v>0</v>
      </c>
      <c r="R35" s="14">
        <v>0</v>
      </c>
      <c r="S35" s="14">
        <v>110</v>
      </c>
      <c r="T35" s="14">
        <f t="shared" si="0"/>
        <v>110</v>
      </c>
      <c r="U35" s="651">
        <v>0</v>
      </c>
      <c r="V35" s="651">
        <f t="shared" si="1"/>
        <v>110</v>
      </c>
      <c r="W35" s="651">
        <v>0</v>
      </c>
      <c r="X35" s="651">
        <f t="shared" si="2"/>
        <v>110</v>
      </c>
    </row>
    <row r="36" spans="1:24" ht="18" customHeight="1">
      <c r="A36" s="649">
        <v>28</v>
      </c>
      <c r="B36" s="650" t="s">
        <v>449</v>
      </c>
      <c r="C36" s="170" t="s">
        <v>597</v>
      </c>
      <c r="D36" s="200"/>
      <c r="E36" s="200"/>
      <c r="F36" s="200"/>
      <c r="G36" s="13"/>
      <c r="H36" s="13"/>
      <c r="I36" s="13"/>
      <c r="J36" s="198"/>
      <c r="K36" s="14"/>
      <c r="L36" s="14"/>
      <c r="M36" s="14"/>
      <c r="N36" s="14"/>
      <c r="O36" s="14"/>
      <c r="P36" s="14"/>
      <c r="Q36" s="14">
        <v>0</v>
      </c>
      <c r="R36" s="14">
        <v>0</v>
      </c>
      <c r="S36" s="14">
        <v>250</v>
      </c>
      <c r="T36" s="14">
        <f t="shared" si="0"/>
        <v>250</v>
      </c>
      <c r="U36" s="651">
        <v>0</v>
      </c>
      <c r="V36" s="651">
        <f t="shared" si="1"/>
        <v>250</v>
      </c>
      <c r="W36" s="651">
        <v>0</v>
      </c>
      <c r="X36" s="651">
        <f t="shared" si="2"/>
        <v>250</v>
      </c>
    </row>
    <row r="37" spans="1:24" ht="18" customHeight="1">
      <c r="A37" s="649">
        <v>29</v>
      </c>
      <c r="B37" s="650" t="s">
        <v>450</v>
      </c>
      <c r="C37" s="170" t="s">
        <v>598</v>
      </c>
      <c r="D37" s="200"/>
      <c r="E37" s="200"/>
      <c r="F37" s="200"/>
      <c r="G37" s="13"/>
      <c r="H37" s="13"/>
      <c r="I37" s="13"/>
      <c r="J37" s="198"/>
      <c r="K37" s="14"/>
      <c r="L37" s="14"/>
      <c r="M37" s="14"/>
      <c r="N37" s="14"/>
      <c r="O37" s="14"/>
      <c r="P37" s="14"/>
      <c r="Q37" s="14">
        <v>0</v>
      </c>
      <c r="R37" s="14">
        <v>0</v>
      </c>
      <c r="S37" s="14">
        <v>100</v>
      </c>
      <c r="T37" s="14">
        <f t="shared" si="0"/>
        <v>100</v>
      </c>
      <c r="U37" s="651">
        <v>0</v>
      </c>
      <c r="V37" s="651">
        <f t="shared" si="1"/>
        <v>100</v>
      </c>
      <c r="W37" s="651">
        <v>0</v>
      </c>
      <c r="X37" s="651">
        <f t="shared" si="2"/>
        <v>100</v>
      </c>
    </row>
    <row r="38" spans="1:24" ht="18" customHeight="1">
      <c r="A38" s="649">
        <v>30</v>
      </c>
      <c r="B38" s="650" t="s">
        <v>600</v>
      </c>
      <c r="C38" s="170" t="s">
        <v>613</v>
      </c>
      <c r="D38" s="200"/>
      <c r="E38" s="200"/>
      <c r="F38" s="200"/>
      <c r="G38" s="13"/>
      <c r="H38" s="13"/>
      <c r="I38" s="13"/>
      <c r="J38" s="198"/>
      <c r="K38" s="14"/>
      <c r="L38" s="14"/>
      <c r="M38" s="14"/>
      <c r="N38" s="14"/>
      <c r="O38" s="14"/>
      <c r="P38" s="14"/>
      <c r="Q38" s="14">
        <v>0</v>
      </c>
      <c r="R38" s="14">
        <v>0</v>
      </c>
      <c r="S38" s="14"/>
      <c r="T38" s="14">
        <v>0</v>
      </c>
      <c r="U38" s="651">
        <v>150</v>
      </c>
      <c r="V38" s="651">
        <f t="shared" si="1"/>
        <v>150</v>
      </c>
      <c r="W38" s="651">
        <v>0</v>
      </c>
      <c r="X38" s="651">
        <f t="shared" si="2"/>
        <v>150</v>
      </c>
    </row>
    <row r="39" spans="1:24" ht="18" customHeight="1">
      <c r="A39" s="649">
        <v>31</v>
      </c>
      <c r="B39" s="650" t="s">
        <v>614</v>
      </c>
      <c r="C39" s="170" t="s">
        <v>615</v>
      </c>
      <c r="D39" s="200"/>
      <c r="E39" s="200"/>
      <c r="F39" s="200"/>
      <c r="G39" s="13"/>
      <c r="H39" s="13"/>
      <c r="I39" s="13"/>
      <c r="J39" s="198"/>
      <c r="K39" s="14"/>
      <c r="L39" s="14"/>
      <c r="M39" s="14"/>
      <c r="N39" s="14"/>
      <c r="O39" s="14"/>
      <c r="P39" s="14"/>
      <c r="Q39" s="14">
        <v>0</v>
      </c>
      <c r="R39" s="14">
        <v>0</v>
      </c>
      <c r="S39" s="14"/>
      <c r="T39" s="14">
        <v>0</v>
      </c>
      <c r="U39" s="651">
        <v>50</v>
      </c>
      <c r="V39" s="651">
        <f t="shared" si="1"/>
        <v>50</v>
      </c>
      <c r="W39" s="651">
        <v>0</v>
      </c>
      <c r="X39" s="651">
        <f t="shared" si="2"/>
        <v>50</v>
      </c>
    </row>
    <row r="40" spans="1:24" ht="18" customHeight="1">
      <c r="A40" s="649">
        <v>32</v>
      </c>
      <c r="B40" s="650" t="s">
        <v>459</v>
      </c>
      <c r="C40" s="170" t="s">
        <v>616</v>
      </c>
      <c r="D40" s="200"/>
      <c r="E40" s="200"/>
      <c r="F40" s="200"/>
      <c r="G40" s="13"/>
      <c r="H40" s="13"/>
      <c r="I40" s="13"/>
      <c r="J40" s="198"/>
      <c r="K40" s="14"/>
      <c r="L40" s="14"/>
      <c r="M40" s="14"/>
      <c r="N40" s="14"/>
      <c r="O40" s="14"/>
      <c r="P40" s="14"/>
      <c r="Q40" s="14">
        <v>0</v>
      </c>
      <c r="R40" s="14">
        <v>0</v>
      </c>
      <c r="S40" s="14"/>
      <c r="T40" s="14">
        <v>0</v>
      </c>
      <c r="U40" s="651">
        <v>50</v>
      </c>
      <c r="V40" s="651">
        <f t="shared" si="1"/>
        <v>50</v>
      </c>
      <c r="W40" s="651">
        <v>0</v>
      </c>
      <c r="X40" s="651">
        <f t="shared" si="2"/>
        <v>50</v>
      </c>
    </row>
    <row r="41" spans="1:24" ht="18" customHeight="1">
      <c r="A41" s="649">
        <v>33</v>
      </c>
      <c r="B41" s="650" t="s">
        <v>617</v>
      </c>
      <c r="C41" s="170" t="s">
        <v>618</v>
      </c>
      <c r="D41" s="200"/>
      <c r="E41" s="200"/>
      <c r="F41" s="200"/>
      <c r="G41" s="13"/>
      <c r="H41" s="13"/>
      <c r="I41" s="13"/>
      <c r="J41" s="198"/>
      <c r="K41" s="14"/>
      <c r="L41" s="14"/>
      <c r="M41" s="14"/>
      <c r="N41" s="14"/>
      <c r="O41" s="14"/>
      <c r="P41" s="14"/>
      <c r="Q41" s="14">
        <v>0</v>
      </c>
      <c r="R41" s="14">
        <v>0</v>
      </c>
      <c r="S41" s="14"/>
      <c r="T41" s="14">
        <v>0</v>
      </c>
      <c r="U41" s="651">
        <v>90</v>
      </c>
      <c r="V41" s="651">
        <f t="shared" si="1"/>
        <v>90</v>
      </c>
      <c r="W41" s="651">
        <v>0</v>
      </c>
      <c r="X41" s="651">
        <f t="shared" si="2"/>
        <v>90</v>
      </c>
    </row>
    <row r="42" spans="1:24" ht="18" customHeight="1">
      <c r="A42" s="649">
        <v>34</v>
      </c>
      <c r="B42" s="650" t="s">
        <v>619</v>
      </c>
      <c r="C42" s="170" t="s">
        <v>620</v>
      </c>
      <c r="D42" s="200"/>
      <c r="E42" s="200"/>
      <c r="F42" s="200"/>
      <c r="G42" s="13"/>
      <c r="H42" s="13"/>
      <c r="I42" s="13"/>
      <c r="J42" s="198"/>
      <c r="K42" s="14"/>
      <c r="L42" s="14"/>
      <c r="M42" s="14"/>
      <c r="N42" s="14"/>
      <c r="O42" s="14"/>
      <c r="P42" s="14"/>
      <c r="Q42" s="14">
        <v>0</v>
      </c>
      <c r="R42" s="14">
        <v>0</v>
      </c>
      <c r="S42" s="14"/>
      <c r="T42" s="14">
        <v>0</v>
      </c>
      <c r="U42" s="651">
        <v>100</v>
      </c>
      <c r="V42" s="651">
        <f t="shared" si="1"/>
        <v>100</v>
      </c>
      <c r="W42" s="651">
        <v>0</v>
      </c>
      <c r="X42" s="651">
        <f t="shared" si="2"/>
        <v>100</v>
      </c>
    </row>
    <row r="43" spans="1:24" ht="18" customHeight="1">
      <c r="A43" s="649">
        <v>35</v>
      </c>
      <c r="B43" s="650" t="s">
        <v>621</v>
      </c>
      <c r="C43" s="170" t="s">
        <v>622</v>
      </c>
      <c r="D43" s="200"/>
      <c r="E43" s="200"/>
      <c r="F43" s="200"/>
      <c r="G43" s="13"/>
      <c r="H43" s="13"/>
      <c r="I43" s="13"/>
      <c r="J43" s="198"/>
      <c r="K43" s="14"/>
      <c r="L43" s="14"/>
      <c r="M43" s="14"/>
      <c r="N43" s="14"/>
      <c r="O43" s="14"/>
      <c r="P43" s="14"/>
      <c r="Q43" s="14">
        <v>0</v>
      </c>
      <c r="R43" s="14">
        <v>0</v>
      </c>
      <c r="S43" s="14"/>
      <c r="T43" s="14">
        <v>0</v>
      </c>
      <c r="U43" s="651">
        <v>2250</v>
      </c>
      <c r="V43" s="651">
        <f>SUM(T43:U43)</f>
        <v>2250</v>
      </c>
      <c r="W43" s="651">
        <v>0</v>
      </c>
      <c r="X43" s="651">
        <f>SUM(V43:W43)</f>
        <v>2250</v>
      </c>
    </row>
    <row r="44" spans="1:24" ht="18" customHeight="1">
      <c r="A44" s="649">
        <v>36</v>
      </c>
      <c r="B44" s="650" t="s">
        <v>623</v>
      </c>
      <c r="C44" s="170" t="s">
        <v>624</v>
      </c>
      <c r="D44" s="200"/>
      <c r="E44" s="200"/>
      <c r="F44" s="200"/>
      <c r="G44" s="13"/>
      <c r="H44" s="13"/>
      <c r="I44" s="13"/>
      <c r="J44" s="198"/>
      <c r="K44" s="14"/>
      <c r="L44" s="14"/>
      <c r="M44" s="14"/>
      <c r="N44" s="14"/>
      <c r="O44" s="14"/>
      <c r="P44" s="14"/>
      <c r="Q44" s="14">
        <v>0</v>
      </c>
      <c r="R44" s="14">
        <v>0</v>
      </c>
      <c r="S44" s="14"/>
      <c r="T44" s="14">
        <v>0</v>
      </c>
      <c r="U44" s="651">
        <v>150</v>
      </c>
      <c r="V44" s="651">
        <f>SUM(T44:U44)</f>
        <v>150</v>
      </c>
      <c r="W44" s="651">
        <v>0</v>
      </c>
      <c r="X44" s="651">
        <f>SUM(V44:W44)</f>
        <v>150</v>
      </c>
    </row>
    <row r="45" spans="1:24" ht="18" customHeight="1">
      <c r="A45" s="649">
        <v>37</v>
      </c>
      <c r="B45" s="650" t="s">
        <v>625</v>
      </c>
      <c r="C45" s="170" t="s">
        <v>626</v>
      </c>
      <c r="D45" s="200"/>
      <c r="E45" s="200"/>
      <c r="F45" s="200"/>
      <c r="G45" s="13"/>
      <c r="H45" s="13"/>
      <c r="I45" s="13"/>
      <c r="J45" s="198"/>
      <c r="K45" s="14"/>
      <c r="L45" s="14"/>
      <c r="M45" s="14"/>
      <c r="N45" s="14"/>
      <c r="O45" s="14"/>
      <c r="P45" s="14"/>
      <c r="Q45" s="14">
        <v>0</v>
      </c>
      <c r="R45" s="14">
        <v>0</v>
      </c>
      <c r="S45" s="14"/>
      <c r="T45" s="14">
        <v>0</v>
      </c>
      <c r="U45" s="651">
        <v>500</v>
      </c>
      <c r="V45" s="651">
        <f t="shared" si="1"/>
        <v>500</v>
      </c>
      <c r="W45" s="651">
        <v>0</v>
      </c>
      <c r="X45" s="651">
        <f t="shared" ref="X45:X57" si="4">SUM(V45:W45)</f>
        <v>500</v>
      </c>
    </row>
    <row r="46" spans="1:24" ht="18" customHeight="1">
      <c r="A46" s="649">
        <v>38</v>
      </c>
      <c r="B46" s="650" t="s">
        <v>627</v>
      </c>
      <c r="C46" s="170" t="s">
        <v>648</v>
      </c>
      <c r="D46" s="200"/>
      <c r="E46" s="200"/>
      <c r="F46" s="200"/>
      <c r="G46" s="13"/>
      <c r="H46" s="13"/>
      <c r="I46" s="13"/>
      <c r="J46" s="198"/>
      <c r="K46" s="14"/>
      <c r="L46" s="14"/>
      <c r="M46" s="14"/>
      <c r="N46" s="14"/>
      <c r="O46" s="14"/>
      <c r="P46" s="14"/>
      <c r="Q46" s="14">
        <v>0</v>
      </c>
      <c r="R46" s="14">
        <v>0</v>
      </c>
      <c r="S46" s="14"/>
      <c r="T46" s="14">
        <v>0</v>
      </c>
      <c r="U46" s="14">
        <v>0</v>
      </c>
      <c r="V46" s="14">
        <v>0</v>
      </c>
      <c r="W46" s="651">
        <v>100</v>
      </c>
      <c r="X46" s="651">
        <f t="shared" si="4"/>
        <v>100</v>
      </c>
    </row>
    <row r="47" spans="1:24" ht="18" customHeight="1">
      <c r="A47" s="649">
        <v>39</v>
      </c>
      <c r="B47" s="650" t="s">
        <v>629</v>
      </c>
      <c r="C47" s="170" t="s">
        <v>649</v>
      </c>
      <c r="D47" s="200"/>
      <c r="E47" s="200"/>
      <c r="F47" s="200"/>
      <c r="G47" s="13"/>
      <c r="H47" s="13"/>
      <c r="I47" s="13"/>
      <c r="J47" s="198"/>
      <c r="K47" s="14"/>
      <c r="L47" s="14"/>
      <c r="M47" s="14"/>
      <c r="N47" s="14"/>
      <c r="O47" s="14"/>
      <c r="P47" s="14"/>
      <c r="Q47" s="14">
        <v>0</v>
      </c>
      <c r="R47" s="14">
        <v>0</v>
      </c>
      <c r="S47" s="14"/>
      <c r="T47" s="14">
        <v>0</v>
      </c>
      <c r="U47" s="14">
        <v>0</v>
      </c>
      <c r="V47" s="14">
        <v>0</v>
      </c>
      <c r="W47" s="651">
        <v>100</v>
      </c>
      <c r="X47" s="651">
        <f t="shared" si="4"/>
        <v>100</v>
      </c>
    </row>
    <row r="48" spans="1:24" ht="18" customHeight="1">
      <c r="A48" s="649">
        <v>40</v>
      </c>
      <c r="B48" s="650" t="s">
        <v>630</v>
      </c>
      <c r="C48" s="170" t="s">
        <v>650</v>
      </c>
      <c r="D48" s="200"/>
      <c r="E48" s="200"/>
      <c r="F48" s="200"/>
      <c r="G48" s="13"/>
      <c r="H48" s="13"/>
      <c r="I48" s="13"/>
      <c r="J48" s="198"/>
      <c r="K48" s="14"/>
      <c r="L48" s="14"/>
      <c r="M48" s="14"/>
      <c r="N48" s="14"/>
      <c r="O48" s="14"/>
      <c r="P48" s="14"/>
      <c r="Q48" s="14">
        <v>0</v>
      </c>
      <c r="R48" s="14">
        <v>0</v>
      </c>
      <c r="S48" s="14"/>
      <c r="T48" s="14">
        <v>0</v>
      </c>
      <c r="U48" s="14">
        <v>0</v>
      </c>
      <c r="V48" s="14">
        <v>0</v>
      </c>
      <c r="W48" s="651">
        <v>50</v>
      </c>
      <c r="X48" s="651">
        <f t="shared" si="4"/>
        <v>50</v>
      </c>
    </row>
    <row r="49" spans="1:24" ht="18" customHeight="1">
      <c r="A49" s="649">
        <v>41</v>
      </c>
      <c r="B49" s="650" t="s">
        <v>651</v>
      </c>
      <c r="C49" s="170" t="s">
        <v>652</v>
      </c>
      <c r="D49" s="200"/>
      <c r="E49" s="200"/>
      <c r="F49" s="200"/>
      <c r="G49" s="13"/>
      <c r="H49" s="13"/>
      <c r="I49" s="13"/>
      <c r="J49" s="198"/>
      <c r="K49" s="14"/>
      <c r="L49" s="14"/>
      <c r="M49" s="14"/>
      <c r="N49" s="14"/>
      <c r="O49" s="14"/>
      <c r="P49" s="14"/>
      <c r="Q49" s="14">
        <v>0</v>
      </c>
      <c r="R49" s="14">
        <v>0</v>
      </c>
      <c r="S49" s="14"/>
      <c r="T49" s="14">
        <v>0</v>
      </c>
      <c r="U49" s="14">
        <v>0</v>
      </c>
      <c r="V49" s="14">
        <v>0</v>
      </c>
      <c r="W49" s="651">
        <v>100</v>
      </c>
      <c r="X49" s="651">
        <f t="shared" si="4"/>
        <v>100</v>
      </c>
    </row>
    <row r="50" spans="1:24" ht="18" customHeight="1">
      <c r="A50" s="649">
        <v>42</v>
      </c>
      <c r="B50" s="650" t="s">
        <v>653</v>
      </c>
      <c r="C50" s="170" t="s">
        <v>654</v>
      </c>
      <c r="D50" s="200"/>
      <c r="E50" s="200"/>
      <c r="F50" s="200"/>
      <c r="G50" s="13"/>
      <c r="H50" s="13"/>
      <c r="I50" s="13"/>
      <c r="J50" s="198"/>
      <c r="K50" s="14"/>
      <c r="L50" s="14"/>
      <c r="M50" s="14"/>
      <c r="N50" s="14"/>
      <c r="O50" s="14"/>
      <c r="P50" s="14"/>
      <c r="Q50" s="14">
        <v>0</v>
      </c>
      <c r="R50" s="14">
        <v>0</v>
      </c>
      <c r="S50" s="14"/>
      <c r="T50" s="14">
        <v>0</v>
      </c>
      <c r="U50" s="14">
        <v>0</v>
      </c>
      <c r="V50" s="14">
        <v>0</v>
      </c>
      <c r="W50" s="651">
        <v>50</v>
      </c>
      <c r="X50" s="651">
        <f t="shared" si="4"/>
        <v>50</v>
      </c>
    </row>
    <row r="51" spans="1:24" ht="18" customHeight="1">
      <c r="A51" s="649">
        <v>43</v>
      </c>
      <c r="B51" s="650" t="s">
        <v>655</v>
      </c>
      <c r="C51" s="170" t="s">
        <v>656</v>
      </c>
      <c r="D51" s="200"/>
      <c r="E51" s="200"/>
      <c r="F51" s="200"/>
      <c r="G51" s="13"/>
      <c r="H51" s="13"/>
      <c r="I51" s="13"/>
      <c r="J51" s="198"/>
      <c r="K51" s="14"/>
      <c r="L51" s="14"/>
      <c r="M51" s="14"/>
      <c r="N51" s="14"/>
      <c r="O51" s="14"/>
      <c r="P51" s="14"/>
      <c r="Q51" s="14">
        <v>0</v>
      </c>
      <c r="R51" s="14">
        <v>0</v>
      </c>
      <c r="S51" s="14"/>
      <c r="T51" s="14">
        <v>0</v>
      </c>
      <c r="U51" s="14">
        <v>0</v>
      </c>
      <c r="V51" s="14">
        <v>0</v>
      </c>
      <c r="W51" s="651">
        <v>50</v>
      </c>
      <c r="X51" s="651">
        <f t="shared" si="4"/>
        <v>50</v>
      </c>
    </row>
    <row r="52" spans="1:24" ht="18" customHeight="1">
      <c r="A52" s="649">
        <v>44</v>
      </c>
      <c r="B52" s="650" t="s">
        <v>657</v>
      </c>
      <c r="C52" s="170" t="s">
        <v>618</v>
      </c>
      <c r="D52" s="200"/>
      <c r="E52" s="200"/>
      <c r="F52" s="200"/>
      <c r="G52" s="13"/>
      <c r="H52" s="13"/>
      <c r="I52" s="13"/>
      <c r="J52" s="198"/>
      <c r="K52" s="14"/>
      <c r="L52" s="14"/>
      <c r="M52" s="14"/>
      <c r="N52" s="14"/>
      <c r="O52" s="14"/>
      <c r="P52" s="14"/>
      <c r="Q52" s="14">
        <v>0</v>
      </c>
      <c r="R52" s="14">
        <v>0</v>
      </c>
      <c r="S52" s="14"/>
      <c r="T52" s="14">
        <v>0</v>
      </c>
      <c r="U52" s="14">
        <v>0</v>
      </c>
      <c r="V52" s="14">
        <v>0</v>
      </c>
      <c r="W52" s="651">
        <v>50</v>
      </c>
      <c r="X52" s="651">
        <f t="shared" si="4"/>
        <v>50</v>
      </c>
    </row>
    <row r="53" spans="1:24" ht="18" customHeight="1">
      <c r="A53" s="649">
        <v>45</v>
      </c>
      <c r="B53" s="650" t="s">
        <v>658</v>
      </c>
      <c r="C53" s="170" t="s">
        <v>659</v>
      </c>
      <c r="D53" s="200"/>
      <c r="E53" s="200"/>
      <c r="F53" s="200"/>
      <c r="G53" s="13"/>
      <c r="H53" s="13"/>
      <c r="I53" s="13"/>
      <c r="J53" s="198"/>
      <c r="K53" s="14"/>
      <c r="L53" s="14"/>
      <c r="M53" s="14"/>
      <c r="N53" s="14"/>
      <c r="O53" s="14"/>
      <c r="P53" s="14"/>
      <c r="Q53" s="14">
        <v>0</v>
      </c>
      <c r="R53" s="14">
        <v>0</v>
      </c>
      <c r="S53" s="14"/>
      <c r="T53" s="14">
        <v>0</v>
      </c>
      <c r="U53" s="14">
        <v>0</v>
      </c>
      <c r="V53" s="14">
        <v>0</v>
      </c>
      <c r="W53" s="651">
        <v>50</v>
      </c>
      <c r="X53" s="651">
        <f t="shared" si="4"/>
        <v>50</v>
      </c>
    </row>
    <row r="54" spans="1:24" ht="18" customHeight="1">
      <c r="A54" s="649">
        <v>46</v>
      </c>
      <c r="B54" s="650" t="s">
        <v>660</v>
      </c>
      <c r="C54" s="170" t="s">
        <v>661</v>
      </c>
      <c r="D54" s="200"/>
      <c r="E54" s="200"/>
      <c r="F54" s="200"/>
      <c r="G54" s="13"/>
      <c r="H54" s="13"/>
      <c r="I54" s="13"/>
      <c r="J54" s="198"/>
      <c r="K54" s="14"/>
      <c r="L54" s="14"/>
      <c r="M54" s="14"/>
      <c r="N54" s="14"/>
      <c r="O54" s="14"/>
      <c r="P54" s="14"/>
      <c r="Q54" s="14">
        <v>0</v>
      </c>
      <c r="R54" s="14">
        <v>0</v>
      </c>
      <c r="S54" s="14"/>
      <c r="T54" s="14">
        <v>0</v>
      </c>
      <c r="U54" s="14">
        <v>0</v>
      </c>
      <c r="V54" s="14">
        <v>0</v>
      </c>
      <c r="W54" s="651">
        <v>50</v>
      </c>
      <c r="X54" s="651">
        <f t="shared" si="4"/>
        <v>50</v>
      </c>
    </row>
    <row r="55" spans="1:24" ht="18" customHeight="1">
      <c r="A55" s="649">
        <v>47</v>
      </c>
      <c r="B55" s="650" t="s">
        <v>662</v>
      </c>
      <c r="C55" s="170" t="s">
        <v>628</v>
      </c>
      <c r="D55" s="200"/>
      <c r="E55" s="200"/>
      <c r="F55" s="200"/>
      <c r="G55" s="13"/>
      <c r="H55" s="13"/>
      <c r="I55" s="13"/>
      <c r="J55" s="198"/>
      <c r="K55" s="14"/>
      <c r="L55" s="14"/>
      <c r="M55" s="14"/>
      <c r="N55" s="14"/>
      <c r="O55" s="14"/>
      <c r="P55" s="14"/>
      <c r="Q55" s="14">
        <v>0</v>
      </c>
      <c r="R55" s="14">
        <v>0</v>
      </c>
      <c r="S55" s="14"/>
      <c r="T55" s="14">
        <v>0</v>
      </c>
      <c r="U55" s="651">
        <v>500</v>
      </c>
      <c r="V55" s="651">
        <f t="shared" si="1"/>
        <v>500</v>
      </c>
      <c r="W55" s="651">
        <v>0</v>
      </c>
      <c r="X55" s="651">
        <f t="shared" si="4"/>
        <v>500</v>
      </c>
    </row>
    <row r="56" spans="1:24" ht="30" customHeight="1">
      <c r="A56" s="649">
        <v>48</v>
      </c>
      <c r="B56" s="650" t="s">
        <v>663</v>
      </c>
      <c r="C56" s="628" t="s">
        <v>599</v>
      </c>
      <c r="D56" s="200"/>
      <c r="E56" s="200"/>
      <c r="F56" s="200"/>
      <c r="G56" s="13"/>
      <c r="H56" s="13"/>
      <c r="I56" s="13"/>
      <c r="J56" s="198"/>
      <c r="K56" s="14"/>
      <c r="L56" s="14"/>
      <c r="M56" s="14"/>
      <c r="N56" s="14"/>
      <c r="O56" s="14"/>
      <c r="P56" s="14"/>
      <c r="Q56" s="14">
        <v>0</v>
      </c>
      <c r="R56" s="14">
        <v>0</v>
      </c>
      <c r="S56" s="14">
        <v>2500</v>
      </c>
      <c r="T56" s="14">
        <f t="shared" si="0"/>
        <v>2500</v>
      </c>
      <c r="U56" s="651">
        <v>0</v>
      </c>
      <c r="V56" s="651">
        <f t="shared" si="1"/>
        <v>2500</v>
      </c>
      <c r="W56" s="651">
        <v>0</v>
      </c>
      <c r="X56" s="651">
        <f t="shared" si="4"/>
        <v>2500</v>
      </c>
    </row>
    <row r="57" spans="1:24" ht="30">
      <c r="A57" s="649">
        <v>49</v>
      </c>
      <c r="B57" s="650" t="s">
        <v>664</v>
      </c>
      <c r="C57" s="170" t="s">
        <v>601</v>
      </c>
      <c r="D57" s="200"/>
      <c r="E57" s="200"/>
      <c r="F57" s="200"/>
      <c r="G57" s="13"/>
      <c r="H57" s="13"/>
      <c r="I57" s="13"/>
      <c r="J57" s="198"/>
      <c r="K57" s="14"/>
      <c r="L57" s="14"/>
      <c r="M57" s="14"/>
      <c r="N57" s="14"/>
      <c r="O57" s="14"/>
      <c r="P57" s="14"/>
      <c r="Q57" s="14">
        <v>0</v>
      </c>
      <c r="R57" s="14">
        <v>0</v>
      </c>
      <c r="S57" s="14">
        <v>5722</v>
      </c>
      <c r="T57" s="14">
        <f t="shared" si="0"/>
        <v>5722</v>
      </c>
      <c r="U57" s="651">
        <v>0</v>
      </c>
      <c r="V57" s="651">
        <f t="shared" si="1"/>
        <v>5722</v>
      </c>
      <c r="W57" s="651">
        <v>0</v>
      </c>
      <c r="X57" s="651">
        <f t="shared" si="4"/>
        <v>5722</v>
      </c>
    </row>
    <row r="58" spans="1:24" ht="18" customHeight="1">
      <c r="A58" s="649">
        <v>50</v>
      </c>
      <c r="B58" s="650"/>
      <c r="C58" s="201" t="s">
        <v>19</v>
      </c>
      <c r="D58" s="202">
        <f>SUM(D11:D23)</f>
        <v>58100</v>
      </c>
      <c r="E58" s="202">
        <f>SUM(E11:E23)</f>
        <v>78531</v>
      </c>
      <c r="F58" s="202">
        <f>SUM(F11:F23)</f>
        <v>85500</v>
      </c>
      <c r="G58" s="179">
        <v>-8000</v>
      </c>
      <c r="H58" s="48">
        <f>F58+G58</f>
        <v>77500</v>
      </c>
      <c r="I58" s="48">
        <f>SUM(I17:I23)</f>
        <v>0</v>
      </c>
      <c r="J58" s="48">
        <f>SUM(J11:J23)</f>
        <v>85500</v>
      </c>
      <c r="K58" s="48">
        <f>SUM(K11:K23)</f>
        <v>0</v>
      </c>
      <c r="L58" s="48">
        <f>SUM(L11:L23)</f>
        <v>85500</v>
      </c>
      <c r="M58" s="48">
        <f>SUM(M11:M23)</f>
        <v>92300</v>
      </c>
      <c r="N58" s="180">
        <f>SUM(N11:N23)</f>
        <v>471000</v>
      </c>
      <c r="O58" s="180">
        <f>SUM(O11:O28)</f>
        <v>683400</v>
      </c>
      <c r="P58" s="180">
        <f>SUM(P11:P28)</f>
        <v>590869</v>
      </c>
      <c r="Q58" s="180">
        <f t="shared" ref="Q58:X58" si="5">SUM(Q11:Q57)</f>
        <v>596169</v>
      </c>
      <c r="R58" s="180">
        <f t="shared" si="5"/>
        <v>634745</v>
      </c>
      <c r="S58" s="180">
        <f t="shared" si="5"/>
        <v>17619</v>
      </c>
      <c r="T58" s="180">
        <f t="shared" si="5"/>
        <v>652364</v>
      </c>
      <c r="U58" s="121">
        <f t="shared" si="5"/>
        <v>13992</v>
      </c>
      <c r="V58" s="121">
        <f t="shared" si="5"/>
        <v>666356</v>
      </c>
      <c r="W58" s="121">
        <f t="shared" si="5"/>
        <v>600</v>
      </c>
      <c r="X58" s="121">
        <f t="shared" si="5"/>
        <v>666956</v>
      </c>
    </row>
    <row r="59" spans="1:24" ht="18" customHeight="1">
      <c r="A59" s="747">
        <v>51</v>
      </c>
      <c r="B59" s="758"/>
      <c r="C59" s="714" t="s">
        <v>60</v>
      </c>
      <c r="D59" s="714" t="s">
        <v>104</v>
      </c>
      <c r="E59" s="754" t="s">
        <v>113</v>
      </c>
      <c r="F59" s="715" t="s">
        <v>109</v>
      </c>
      <c r="G59" s="203"/>
      <c r="H59" s="715" t="s">
        <v>115</v>
      </c>
      <c r="I59" s="714" t="s">
        <v>111</v>
      </c>
      <c r="J59" s="714" t="s">
        <v>256</v>
      </c>
      <c r="K59" s="740" t="s">
        <v>111</v>
      </c>
      <c r="L59" s="762" t="s">
        <v>257</v>
      </c>
      <c r="M59" s="715" t="str">
        <f t="shared" ref="M59:X59" si="6">M$7</f>
        <v>Előirányzat
4/2020. (III.05.) önkormányzati rendelet</v>
      </c>
      <c r="N59" s="715" t="str">
        <f t="shared" si="6"/>
        <v>Előirányzat
 5./2021. (II.25.) polgármesteri rendelet</v>
      </c>
      <c r="O59" s="715" t="str">
        <f t="shared" si="6"/>
        <v>Előirányzat
3/2022. (II.10.) önkormányzati rendelet</v>
      </c>
      <c r="P59" s="715" t="str">
        <f t="shared" si="6"/>
        <v>Előirányzat
1./2023. (II.23.) önkormányzati rendelet</v>
      </c>
      <c r="Q59" s="715" t="str">
        <f t="shared" si="6"/>
        <v>Előirányzat
 1./2024. (II.22.) önkormányzati rendelet</v>
      </c>
      <c r="R59" s="715" t="str">
        <f t="shared" si="6"/>
        <v>Előirányzat
2/2025. (II.20.) önkormányzati rendelet</v>
      </c>
      <c r="S59" s="715" t="str">
        <f t="shared" si="6"/>
        <v>Módosítás</v>
      </c>
      <c r="T59" s="715" t="str">
        <f t="shared" si="6"/>
        <v>Előirányzat 13/2025. (VI.26.) önkormányzati rendelet</v>
      </c>
      <c r="U59" s="755" t="str">
        <f t="shared" si="6"/>
        <v>Módosítás</v>
      </c>
      <c r="V59" s="755" t="str">
        <f t="shared" si="6"/>
        <v>Előirányzat 16/2025. (IX.25.) önkormányzati rendelet</v>
      </c>
      <c r="W59" s="755" t="str">
        <f t="shared" si="6"/>
        <v>Módosítás</v>
      </c>
      <c r="X59" s="755" t="str">
        <f t="shared" si="6"/>
        <v>Módosított előirányzat</v>
      </c>
    </row>
    <row r="60" spans="1:24" ht="18" customHeight="1">
      <c r="A60" s="748"/>
      <c r="B60" s="758"/>
      <c r="C60" s="714"/>
      <c r="D60" s="714"/>
      <c r="E60" s="754"/>
      <c r="F60" s="716"/>
      <c r="G60" s="204"/>
      <c r="H60" s="716"/>
      <c r="I60" s="714"/>
      <c r="J60" s="714"/>
      <c r="K60" s="741"/>
      <c r="L60" s="741"/>
      <c r="M60" s="716"/>
      <c r="N60" s="716"/>
      <c r="O60" s="716"/>
      <c r="P60" s="716"/>
      <c r="Q60" s="716"/>
      <c r="R60" s="716"/>
      <c r="S60" s="716"/>
      <c r="T60" s="716"/>
      <c r="U60" s="756"/>
      <c r="V60" s="756"/>
      <c r="W60" s="756"/>
      <c r="X60" s="756"/>
    </row>
    <row r="61" spans="1:24" ht="45" customHeight="1">
      <c r="A61" s="749"/>
      <c r="B61" s="758"/>
      <c r="C61" s="714"/>
      <c r="D61" s="714"/>
      <c r="E61" s="754"/>
      <c r="F61" s="717"/>
      <c r="G61" s="193" t="s">
        <v>111</v>
      </c>
      <c r="H61" s="717"/>
      <c r="I61" s="714"/>
      <c r="J61" s="714"/>
      <c r="K61" s="742"/>
      <c r="L61" s="742"/>
      <c r="M61" s="717"/>
      <c r="N61" s="717"/>
      <c r="O61" s="717"/>
      <c r="P61" s="717"/>
      <c r="Q61" s="717"/>
      <c r="R61" s="717"/>
      <c r="S61" s="717"/>
      <c r="T61" s="717"/>
      <c r="U61" s="757"/>
      <c r="V61" s="757"/>
      <c r="W61" s="757"/>
      <c r="X61" s="757"/>
    </row>
    <row r="62" spans="1:24" ht="18" customHeight="1">
      <c r="A62" s="649">
        <v>52</v>
      </c>
      <c r="B62" s="652" t="s">
        <v>72</v>
      </c>
      <c r="C62" s="13" t="s">
        <v>61</v>
      </c>
      <c r="D62" s="14">
        <v>16000</v>
      </c>
      <c r="E62" s="14">
        <v>16000</v>
      </c>
      <c r="F62" s="14">
        <v>18000</v>
      </c>
      <c r="G62" s="13">
        <v>0</v>
      </c>
      <c r="H62" s="14">
        <v>18000</v>
      </c>
      <c r="I62" s="13">
        <f t="shared" ref="I62:I70" si="7">+J62-H62</f>
        <v>415</v>
      </c>
      <c r="J62" s="205">
        <v>18415</v>
      </c>
      <c r="K62" s="14">
        <v>0</v>
      </c>
      <c r="L62" s="14">
        <v>18415</v>
      </c>
      <c r="M62" s="14">
        <v>23413</v>
      </c>
      <c r="N62" s="14">
        <v>25000</v>
      </c>
      <c r="O62" s="14">
        <v>46790</v>
      </c>
      <c r="P62" s="14">
        <v>32165</v>
      </c>
      <c r="Q62" s="14">
        <v>21618</v>
      </c>
      <c r="R62" s="14">
        <v>33319</v>
      </c>
      <c r="S62" s="14">
        <v>0</v>
      </c>
      <c r="T62" s="14">
        <f t="shared" ref="T62:T69" si="8">SUM(R62:S62)</f>
        <v>33319</v>
      </c>
      <c r="U62" s="651">
        <v>0</v>
      </c>
      <c r="V62" s="651">
        <f t="shared" ref="V62:V69" si="9">SUM(T62:U62)</f>
        <v>33319</v>
      </c>
      <c r="W62" s="651">
        <v>0</v>
      </c>
      <c r="X62" s="651">
        <f t="shared" ref="X62" si="10">SUM(V62:W62)</f>
        <v>33319</v>
      </c>
    </row>
    <row r="63" spans="1:24" ht="30">
      <c r="A63" s="649">
        <v>53</v>
      </c>
      <c r="B63" s="652" t="s">
        <v>73</v>
      </c>
      <c r="C63" s="628" t="s">
        <v>631</v>
      </c>
      <c r="D63" s="200"/>
      <c r="E63" s="200"/>
      <c r="F63" s="200"/>
      <c r="G63" s="13"/>
      <c r="H63" s="13"/>
      <c r="I63" s="13"/>
      <c r="J63" s="198"/>
      <c r="K63" s="14"/>
      <c r="L63" s="14"/>
      <c r="M63" s="14"/>
      <c r="N63" s="14"/>
      <c r="O63" s="14"/>
      <c r="P63" s="14"/>
      <c r="Q63" s="14">
        <v>0</v>
      </c>
      <c r="R63" s="14">
        <v>0</v>
      </c>
      <c r="S63" s="14"/>
      <c r="T63" s="14">
        <v>0</v>
      </c>
      <c r="U63" s="651">
        <v>102</v>
      </c>
      <c r="V63" s="651">
        <f>SUM(T63:U63)</f>
        <v>102</v>
      </c>
      <c r="W63" s="651">
        <v>0</v>
      </c>
      <c r="X63" s="651">
        <f>SUM(V63:W63)</f>
        <v>102</v>
      </c>
    </row>
    <row r="64" spans="1:24" ht="18" customHeight="1">
      <c r="A64" s="649">
        <v>54</v>
      </c>
      <c r="B64" s="652" t="s">
        <v>74</v>
      </c>
      <c r="C64" s="13" t="s">
        <v>62</v>
      </c>
      <c r="D64" s="14">
        <v>1500</v>
      </c>
      <c r="E64" s="14">
        <v>1500</v>
      </c>
      <c r="F64" s="14">
        <v>1500</v>
      </c>
      <c r="G64" s="13">
        <v>0</v>
      </c>
      <c r="H64" s="14">
        <v>1500</v>
      </c>
      <c r="I64" s="13">
        <f t="shared" si="7"/>
        <v>0</v>
      </c>
      <c r="J64" s="205">
        <v>1500</v>
      </c>
      <c r="K64" s="14">
        <v>0</v>
      </c>
      <c r="L64" s="14">
        <v>1500</v>
      </c>
      <c r="M64" s="14">
        <v>1500</v>
      </c>
      <c r="N64" s="14">
        <v>1500</v>
      </c>
      <c r="O64" s="14">
        <v>1500</v>
      </c>
      <c r="P64" s="14">
        <v>1500</v>
      </c>
      <c r="Q64" s="14">
        <v>2000</v>
      </c>
      <c r="R64" s="14">
        <v>2000</v>
      </c>
      <c r="S64" s="14">
        <v>0</v>
      </c>
      <c r="T64" s="14">
        <f t="shared" si="8"/>
        <v>2000</v>
      </c>
      <c r="U64" s="651">
        <v>0</v>
      </c>
      <c r="V64" s="651">
        <f t="shared" si="9"/>
        <v>2000</v>
      </c>
      <c r="W64" s="651">
        <v>0</v>
      </c>
      <c r="X64" s="651">
        <f t="shared" ref="X64:X69" si="11">SUM(V64:W64)</f>
        <v>2000</v>
      </c>
    </row>
    <row r="65" spans="1:24" ht="18" customHeight="1">
      <c r="A65" s="649">
        <v>55</v>
      </c>
      <c r="B65" s="652" t="s">
        <v>75</v>
      </c>
      <c r="C65" s="13" t="s">
        <v>63</v>
      </c>
      <c r="D65" s="14">
        <v>1500</v>
      </c>
      <c r="E65" s="14">
        <v>1500</v>
      </c>
      <c r="F65" s="14">
        <v>1500</v>
      </c>
      <c r="G65" s="13">
        <v>0</v>
      </c>
      <c r="H65" s="14">
        <v>1500</v>
      </c>
      <c r="I65" s="13">
        <f t="shared" si="7"/>
        <v>0</v>
      </c>
      <c r="J65" s="205">
        <v>1500</v>
      </c>
      <c r="K65" s="14">
        <v>0</v>
      </c>
      <c r="L65" s="14">
        <v>1500</v>
      </c>
      <c r="M65" s="14">
        <v>1500</v>
      </c>
      <c r="N65" s="14">
        <v>1500</v>
      </c>
      <c r="O65" s="14">
        <v>1500</v>
      </c>
      <c r="P65" s="14">
        <v>1500</v>
      </c>
      <c r="Q65" s="14">
        <v>2000</v>
      </c>
      <c r="R65" s="14">
        <v>2000</v>
      </c>
      <c r="S65" s="14">
        <v>0</v>
      </c>
      <c r="T65" s="14">
        <f t="shared" si="8"/>
        <v>2000</v>
      </c>
      <c r="U65" s="651">
        <v>0</v>
      </c>
      <c r="V65" s="651">
        <f t="shared" si="9"/>
        <v>2000</v>
      </c>
      <c r="W65" s="651">
        <v>0</v>
      </c>
      <c r="X65" s="651">
        <f t="shared" si="11"/>
        <v>2000</v>
      </c>
    </row>
    <row r="66" spans="1:24" ht="18" customHeight="1">
      <c r="A66" s="649">
        <v>56</v>
      </c>
      <c r="B66" s="652" t="s">
        <v>76</v>
      </c>
      <c r="C66" s="13" t="s">
        <v>64</v>
      </c>
      <c r="D66" s="14">
        <v>2226</v>
      </c>
      <c r="E66" s="14">
        <v>0</v>
      </c>
      <c r="F66" s="14">
        <v>2226</v>
      </c>
      <c r="G66" s="13">
        <v>0</v>
      </c>
      <c r="H66" s="14">
        <v>2226</v>
      </c>
      <c r="I66" s="14">
        <v>4534</v>
      </c>
      <c r="J66" s="205">
        <f>2226+I66</f>
        <v>6760</v>
      </c>
      <c r="K66" s="56">
        <v>0</v>
      </c>
      <c r="L66" s="14">
        <f>J66</f>
        <v>6760</v>
      </c>
      <c r="M66" s="14">
        <v>9200</v>
      </c>
      <c r="N66" s="14">
        <v>9921</v>
      </c>
      <c r="O66" s="14">
        <v>14400</v>
      </c>
      <c r="P66" s="14">
        <v>14400</v>
      </c>
      <c r="Q66" s="14">
        <v>14400</v>
      </c>
      <c r="R66" s="14">
        <v>14400</v>
      </c>
      <c r="S66" s="14">
        <v>0</v>
      </c>
      <c r="T66" s="14">
        <f t="shared" si="8"/>
        <v>14400</v>
      </c>
      <c r="U66" s="651">
        <v>0</v>
      </c>
      <c r="V66" s="651">
        <f t="shared" si="9"/>
        <v>14400</v>
      </c>
      <c r="W66" s="651">
        <v>0</v>
      </c>
      <c r="X66" s="651">
        <f t="shared" si="11"/>
        <v>14400</v>
      </c>
    </row>
    <row r="67" spans="1:24" ht="21" customHeight="1">
      <c r="A67" s="649">
        <v>57</v>
      </c>
      <c r="B67" s="652" t="s">
        <v>77</v>
      </c>
      <c r="C67" s="13" t="s">
        <v>464</v>
      </c>
      <c r="D67" s="14"/>
      <c r="E67" s="14"/>
      <c r="F67" s="14"/>
      <c r="G67" s="13"/>
      <c r="H67" s="14"/>
      <c r="I67" s="13"/>
      <c r="J67" s="205"/>
      <c r="K67" s="14"/>
      <c r="L67" s="14"/>
      <c r="M67" s="14">
        <v>0</v>
      </c>
      <c r="N67" s="56">
        <v>0</v>
      </c>
      <c r="O67" s="56">
        <v>12000</v>
      </c>
      <c r="P67" s="14">
        <v>10200</v>
      </c>
      <c r="Q67" s="14">
        <v>10700</v>
      </c>
      <c r="R67" s="14">
        <v>7000</v>
      </c>
      <c r="S67" s="14">
        <v>0</v>
      </c>
      <c r="T67" s="14">
        <f t="shared" si="8"/>
        <v>7000</v>
      </c>
      <c r="U67" s="651">
        <v>0</v>
      </c>
      <c r="V67" s="651">
        <f t="shared" si="9"/>
        <v>7000</v>
      </c>
      <c r="W67" s="651">
        <v>0</v>
      </c>
      <c r="X67" s="651">
        <f t="shared" si="11"/>
        <v>7000</v>
      </c>
    </row>
    <row r="68" spans="1:24" ht="18" customHeight="1">
      <c r="A68" s="649">
        <v>58</v>
      </c>
      <c r="B68" s="652" t="s">
        <v>78</v>
      </c>
      <c r="C68" s="13" t="s">
        <v>106</v>
      </c>
      <c r="D68" s="14">
        <v>8320</v>
      </c>
      <c r="E68" s="14">
        <v>8320</v>
      </c>
      <c r="F68" s="14">
        <v>14848</v>
      </c>
      <c r="G68" s="13">
        <v>0</v>
      </c>
      <c r="H68" s="14">
        <v>14848</v>
      </c>
      <c r="I68" s="13">
        <f t="shared" si="7"/>
        <v>0</v>
      </c>
      <c r="J68" s="205">
        <v>14848</v>
      </c>
      <c r="K68" s="14">
        <v>0</v>
      </c>
      <c r="L68" s="14">
        <v>14848</v>
      </c>
      <c r="M68" s="14">
        <v>13824</v>
      </c>
      <c r="N68" s="14">
        <v>12800</v>
      </c>
      <c r="O68" s="14">
        <v>12800</v>
      </c>
      <c r="P68" s="14">
        <v>12544</v>
      </c>
      <c r="Q68" s="14">
        <v>13056</v>
      </c>
      <c r="R68" s="14">
        <v>11495</v>
      </c>
      <c r="S68" s="14">
        <v>0</v>
      </c>
      <c r="T68" s="14">
        <f t="shared" si="8"/>
        <v>11495</v>
      </c>
      <c r="U68" s="651">
        <v>0</v>
      </c>
      <c r="V68" s="651">
        <f t="shared" si="9"/>
        <v>11495</v>
      </c>
      <c r="W68" s="651">
        <v>0</v>
      </c>
      <c r="X68" s="651">
        <f t="shared" si="11"/>
        <v>11495</v>
      </c>
    </row>
    <row r="69" spans="1:24" ht="18" customHeight="1">
      <c r="A69" s="649">
        <v>59</v>
      </c>
      <c r="B69" s="652" t="s">
        <v>79</v>
      </c>
      <c r="C69" s="13" t="s">
        <v>552</v>
      </c>
      <c r="D69" s="14"/>
      <c r="E69" s="14"/>
      <c r="F69" s="14"/>
      <c r="G69" s="13"/>
      <c r="H69" s="14"/>
      <c r="I69" s="13"/>
      <c r="J69" s="205"/>
      <c r="K69" s="14"/>
      <c r="L69" s="14"/>
      <c r="M69" s="14"/>
      <c r="N69" s="14"/>
      <c r="O69" s="14"/>
      <c r="P69" s="14"/>
      <c r="Q69" s="14">
        <v>0</v>
      </c>
      <c r="R69" s="14">
        <v>5000</v>
      </c>
      <c r="S69" s="14">
        <v>0</v>
      </c>
      <c r="T69" s="14">
        <f t="shared" si="8"/>
        <v>5000</v>
      </c>
      <c r="U69" s="651">
        <v>0</v>
      </c>
      <c r="V69" s="651">
        <f t="shared" si="9"/>
        <v>5000</v>
      </c>
      <c r="W69" s="651">
        <v>0</v>
      </c>
      <c r="X69" s="651">
        <f t="shared" si="11"/>
        <v>5000</v>
      </c>
    </row>
    <row r="70" spans="1:24" ht="18" customHeight="1">
      <c r="A70" s="649">
        <v>60</v>
      </c>
      <c r="B70" s="652"/>
      <c r="C70" s="206" t="s">
        <v>66</v>
      </c>
      <c r="D70" s="207">
        <f>SUM(D62:D68)</f>
        <v>29546</v>
      </c>
      <c r="E70" s="207">
        <v>52944</v>
      </c>
      <c r="F70" s="207">
        <f>SUM(F62:F68)</f>
        <v>38074</v>
      </c>
      <c r="G70" s="179">
        <v>0</v>
      </c>
      <c r="H70" s="48">
        <v>38074</v>
      </c>
      <c r="I70" s="208">
        <f t="shared" si="7"/>
        <v>4949</v>
      </c>
      <c r="J70" s="48">
        <f>SUM(J62:J68)</f>
        <v>43023</v>
      </c>
      <c r="K70" s="52">
        <v>0</v>
      </c>
      <c r="L70" s="52">
        <f>SUM(J70:K70)</f>
        <v>43023</v>
      </c>
      <c r="M70" s="48">
        <f t="shared" ref="M70:P70" si="12">SUM(M62:M68)</f>
        <v>49437</v>
      </c>
      <c r="N70" s="180">
        <f t="shared" si="12"/>
        <v>50721</v>
      </c>
      <c r="O70" s="180">
        <f t="shared" si="12"/>
        <v>88990</v>
      </c>
      <c r="P70" s="180">
        <f t="shared" si="12"/>
        <v>72309</v>
      </c>
      <c r="Q70" s="180">
        <f>SUM(Q62:Q69)</f>
        <v>63774</v>
      </c>
      <c r="R70" s="180">
        <f>SUM(R62:R69)</f>
        <v>75214</v>
      </c>
      <c r="S70" s="180">
        <f t="shared" ref="S70:X70" si="13">SUM(S62:S69)</f>
        <v>0</v>
      </c>
      <c r="T70" s="180">
        <f t="shared" si="13"/>
        <v>75214</v>
      </c>
      <c r="U70" s="121">
        <f t="shared" si="13"/>
        <v>102</v>
      </c>
      <c r="V70" s="121">
        <f t="shared" si="13"/>
        <v>75316</v>
      </c>
      <c r="W70" s="121">
        <f t="shared" si="13"/>
        <v>0</v>
      </c>
      <c r="X70" s="121">
        <f t="shared" si="13"/>
        <v>75316</v>
      </c>
    </row>
    <row r="71" spans="1:24" ht="18" customHeight="1">
      <c r="A71" s="747">
        <v>61</v>
      </c>
      <c r="B71" s="758"/>
      <c r="C71" s="763" t="s">
        <v>65</v>
      </c>
      <c r="D71" s="714" t="s">
        <v>104</v>
      </c>
      <c r="E71" s="754" t="s">
        <v>113</v>
      </c>
      <c r="F71" s="715" t="s">
        <v>109</v>
      </c>
      <c r="G71" s="13"/>
      <c r="H71" s="715" t="s">
        <v>115</v>
      </c>
      <c r="I71" s="714" t="s">
        <v>111</v>
      </c>
      <c r="J71" s="714" t="s">
        <v>256</v>
      </c>
      <c r="K71" s="740" t="s">
        <v>111</v>
      </c>
      <c r="L71" s="762" t="s">
        <v>257</v>
      </c>
      <c r="M71" s="715" t="str">
        <f t="shared" ref="M71:X71" si="14">M$7</f>
        <v>Előirányzat
4/2020. (III.05.) önkormányzati rendelet</v>
      </c>
      <c r="N71" s="715" t="str">
        <f t="shared" si="14"/>
        <v>Előirányzat
 5./2021. (II.25.) polgármesteri rendelet</v>
      </c>
      <c r="O71" s="715" t="str">
        <f t="shared" si="14"/>
        <v>Előirányzat
3/2022. (II.10.) önkormányzati rendelet</v>
      </c>
      <c r="P71" s="715" t="str">
        <f t="shared" si="14"/>
        <v>Előirányzat
1./2023. (II.23.) önkormányzati rendelet</v>
      </c>
      <c r="Q71" s="715" t="str">
        <f t="shared" si="14"/>
        <v>Előirányzat
 1./2024. (II.22.) önkormányzati rendelet</v>
      </c>
      <c r="R71" s="715" t="str">
        <f t="shared" si="14"/>
        <v>Előirányzat
2/2025. (II.20.) önkormányzati rendelet</v>
      </c>
      <c r="S71" s="715" t="str">
        <f t="shared" si="14"/>
        <v>Módosítás</v>
      </c>
      <c r="T71" s="715" t="str">
        <f t="shared" si="14"/>
        <v>Előirányzat 13/2025. (VI.26.) önkormányzati rendelet</v>
      </c>
      <c r="U71" s="755" t="str">
        <f t="shared" si="14"/>
        <v>Módosítás</v>
      </c>
      <c r="V71" s="755" t="str">
        <f t="shared" si="14"/>
        <v>Előirányzat 16/2025. (IX.25.) önkormányzati rendelet</v>
      </c>
      <c r="W71" s="755" t="str">
        <f t="shared" si="14"/>
        <v>Módosítás</v>
      </c>
      <c r="X71" s="755" t="str">
        <f t="shared" si="14"/>
        <v>Módosított előirányzat</v>
      </c>
    </row>
    <row r="72" spans="1:24" ht="18" customHeight="1">
      <c r="A72" s="748"/>
      <c r="B72" s="758"/>
      <c r="C72" s="763"/>
      <c r="D72" s="714"/>
      <c r="E72" s="754"/>
      <c r="F72" s="716"/>
      <c r="G72" s="13"/>
      <c r="H72" s="716"/>
      <c r="I72" s="714"/>
      <c r="J72" s="714"/>
      <c r="K72" s="741"/>
      <c r="L72" s="741"/>
      <c r="M72" s="716"/>
      <c r="N72" s="716"/>
      <c r="O72" s="716"/>
      <c r="P72" s="716"/>
      <c r="Q72" s="716"/>
      <c r="R72" s="716"/>
      <c r="S72" s="716"/>
      <c r="T72" s="716"/>
      <c r="U72" s="756"/>
      <c r="V72" s="756"/>
      <c r="W72" s="756"/>
      <c r="X72" s="756"/>
    </row>
    <row r="73" spans="1:24" ht="42" customHeight="1">
      <c r="A73" s="749"/>
      <c r="B73" s="758"/>
      <c r="C73" s="763"/>
      <c r="D73" s="714"/>
      <c r="E73" s="754"/>
      <c r="F73" s="717"/>
      <c r="G73" s="13"/>
      <c r="H73" s="717"/>
      <c r="I73" s="714"/>
      <c r="J73" s="714"/>
      <c r="K73" s="742"/>
      <c r="L73" s="742"/>
      <c r="M73" s="717"/>
      <c r="N73" s="717"/>
      <c r="O73" s="717"/>
      <c r="P73" s="717"/>
      <c r="Q73" s="717"/>
      <c r="R73" s="717"/>
      <c r="S73" s="717"/>
      <c r="T73" s="717"/>
      <c r="U73" s="757"/>
      <c r="V73" s="757"/>
      <c r="W73" s="757"/>
      <c r="X73" s="757"/>
    </row>
    <row r="74" spans="1:24" ht="18" customHeight="1">
      <c r="A74" s="649">
        <v>62</v>
      </c>
      <c r="B74" s="649" t="s">
        <v>72</v>
      </c>
      <c r="C74" s="13" t="s">
        <v>99</v>
      </c>
      <c r="D74" s="14"/>
      <c r="E74" s="14"/>
      <c r="F74" s="14">
        <v>0</v>
      </c>
      <c r="G74" s="14"/>
      <c r="H74" s="14"/>
      <c r="I74" s="13"/>
      <c r="J74" s="14"/>
      <c r="K74" s="14"/>
      <c r="L74" s="14">
        <v>0</v>
      </c>
      <c r="M74" s="14">
        <v>5000</v>
      </c>
      <c r="N74" s="14">
        <v>0</v>
      </c>
      <c r="O74" s="14">
        <v>0</v>
      </c>
      <c r="P74" s="14">
        <v>145</v>
      </c>
      <c r="Q74" s="14">
        <v>1717</v>
      </c>
      <c r="R74" s="14">
        <v>0</v>
      </c>
      <c r="S74" s="14">
        <v>0</v>
      </c>
      <c r="T74" s="14">
        <f t="shared" ref="T74:T78" si="15">SUM(R74:S74)</f>
        <v>0</v>
      </c>
      <c r="U74" s="651">
        <v>0</v>
      </c>
      <c r="V74" s="651">
        <f t="shared" ref="V74" si="16">SUM(T74:U74)</f>
        <v>0</v>
      </c>
      <c r="W74" s="651">
        <v>0</v>
      </c>
      <c r="X74" s="651">
        <f t="shared" ref="X74" si="17">SUM(V74:W74)</f>
        <v>0</v>
      </c>
    </row>
    <row r="75" spans="1:24" ht="18" customHeight="1">
      <c r="A75" s="649">
        <v>63</v>
      </c>
      <c r="B75" s="649" t="s">
        <v>73</v>
      </c>
      <c r="C75" s="13" t="s">
        <v>511</v>
      </c>
      <c r="D75" s="14"/>
      <c r="E75" s="14"/>
      <c r="F75" s="14"/>
      <c r="G75" s="14"/>
      <c r="H75" s="14"/>
      <c r="I75" s="13"/>
      <c r="J75" s="14"/>
      <c r="K75" s="14"/>
      <c r="L75" s="14"/>
      <c r="M75" s="14"/>
      <c r="N75" s="14"/>
      <c r="O75" s="14"/>
      <c r="P75" s="14">
        <v>0</v>
      </c>
      <c r="Q75" s="14">
        <v>85181</v>
      </c>
      <c r="R75" s="14">
        <v>85181</v>
      </c>
      <c r="S75" s="14">
        <v>0</v>
      </c>
      <c r="T75" s="14">
        <f>SUM(R75:S75)</f>
        <v>85181</v>
      </c>
      <c r="U75" s="651">
        <v>0</v>
      </c>
      <c r="V75" s="651">
        <f>SUM(T75:U75)</f>
        <v>85181</v>
      </c>
      <c r="W75" s="651">
        <v>0</v>
      </c>
      <c r="X75" s="651">
        <f>SUM(V75:W75)</f>
        <v>85181</v>
      </c>
    </row>
    <row r="76" spans="1:24" ht="39.75" customHeight="1">
      <c r="A76" s="649">
        <v>64</v>
      </c>
      <c r="B76" s="649" t="s">
        <v>75</v>
      </c>
      <c r="C76" s="214" t="s">
        <v>513</v>
      </c>
      <c r="D76" s="14"/>
      <c r="E76" s="14"/>
      <c r="F76" s="14"/>
      <c r="G76" s="14"/>
      <c r="H76" s="14"/>
      <c r="I76" s="13"/>
      <c r="J76" s="14"/>
      <c r="K76" s="14"/>
      <c r="L76" s="14"/>
      <c r="M76" s="14"/>
      <c r="N76" s="14"/>
      <c r="O76" s="14"/>
      <c r="P76" s="14">
        <v>0</v>
      </c>
      <c r="Q76" s="14">
        <v>10000</v>
      </c>
      <c r="R76" s="14">
        <v>5500</v>
      </c>
      <c r="S76" s="14">
        <v>0</v>
      </c>
      <c r="T76" s="14">
        <f>SUM(R76:S76)</f>
        <v>5500</v>
      </c>
      <c r="U76" s="651">
        <v>0</v>
      </c>
      <c r="V76" s="651">
        <f>SUM(T76:U76)</f>
        <v>5500</v>
      </c>
      <c r="W76" s="651">
        <v>0</v>
      </c>
      <c r="X76" s="651">
        <f>SUM(V76:W76)</f>
        <v>5500</v>
      </c>
    </row>
    <row r="77" spans="1:24" ht="18" customHeight="1">
      <c r="A77" s="649">
        <v>65</v>
      </c>
      <c r="B77" s="649" t="s">
        <v>76</v>
      </c>
      <c r="C77" s="170" t="s">
        <v>487</v>
      </c>
      <c r="D77" s="200"/>
      <c r="E77" s="200"/>
      <c r="F77" s="200"/>
      <c r="G77" s="13"/>
      <c r="H77" s="13"/>
      <c r="I77" s="13"/>
      <c r="J77" s="198"/>
      <c r="K77" s="14"/>
      <c r="L77" s="14"/>
      <c r="M77" s="14"/>
      <c r="N77" s="14"/>
      <c r="O77" s="14">
        <v>0</v>
      </c>
      <c r="P77" s="14">
        <v>0</v>
      </c>
      <c r="Q77" s="14">
        <v>27547</v>
      </c>
      <c r="R77" s="14">
        <v>0</v>
      </c>
      <c r="S77" s="14">
        <v>0</v>
      </c>
      <c r="T77" s="14">
        <f t="shared" si="15"/>
        <v>0</v>
      </c>
      <c r="U77" s="651">
        <v>0</v>
      </c>
      <c r="V77" s="651">
        <f t="shared" ref="V77:V78" si="18">SUM(T77:U77)</f>
        <v>0</v>
      </c>
      <c r="W77" s="651">
        <v>0</v>
      </c>
      <c r="X77" s="651">
        <f t="shared" ref="X77:X78" si="19">SUM(V77:W77)</f>
        <v>0</v>
      </c>
    </row>
    <row r="78" spans="1:24" ht="18" customHeight="1">
      <c r="A78" s="649">
        <v>66</v>
      </c>
      <c r="B78" s="649" t="s">
        <v>77</v>
      </c>
      <c r="C78" s="13" t="s">
        <v>590</v>
      </c>
      <c r="D78" s="14"/>
      <c r="E78" s="14"/>
      <c r="F78" s="14">
        <v>0</v>
      </c>
      <c r="G78" s="14"/>
      <c r="H78" s="14"/>
      <c r="I78" s="13"/>
      <c r="J78" s="14"/>
      <c r="K78" s="14"/>
      <c r="L78" s="14">
        <v>0</v>
      </c>
      <c r="M78" s="14">
        <v>50000</v>
      </c>
      <c r="N78" s="14">
        <v>0</v>
      </c>
      <c r="O78" s="14">
        <v>0</v>
      </c>
      <c r="P78" s="14">
        <v>1969</v>
      </c>
      <c r="Q78" s="14">
        <v>0</v>
      </c>
      <c r="R78" s="14">
        <v>0</v>
      </c>
      <c r="S78" s="14">
        <v>11</v>
      </c>
      <c r="T78" s="14">
        <f t="shared" si="15"/>
        <v>11</v>
      </c>
      <c r="U78" s="651">
        <v>0</v>
      </c>
      <c r="V78" s="651">
        <f t="shared" si="18"/>
        <v>11</v>
      </c>
      <c r="W78" s="651">
        <v>0</v>
      </c>
      <c r="X78" s="651">
        <f t="shared" si="19"/>
        <v>11</v>
      </c>
    </row>
    <row r="79" spans="1:24" ht="18" customHeight="1">
      <c r="A79" s="649">
        <v>67</v>
      </c>
      <c r="B79" s="649" t="s">
        <v>71</v>
      </c>
      <c r="C79" s="179" t="s">
        <v>66</v>
      </c>
      <c r="D79" s="48" t="e">
        <f>SUM(#REF!)</f>
        <v>#REF!</v>
      </c>
      <c r="E79" s="48" t="e">
        <f>SUM(#REF!)</f>
        <v>#REF!</v>
      </c>
      <c r="F79" s="48">
        <f>SUM(F74:F78)</f>
        <v>0</v>
      </c>
      <c r="G79" s="179">
        <v>8000</v>
      </c>
      <c r="H79" s="48" t="e">
        <f>SUM(#REF!)</f>
        <v>#REF!</v>
      </c>
      <c r="I79" s="179" t="e">
        <f t="shared" ref="I79:I88" si="20">+J79-H79</f>
        <v>#REF!</v>
      </c>
      <c r="J79" s="48" t="e">
        <f>SUM(#REF!)</f>
        <v>#REF!</v>
      </c>
      <c r="K79" s="48">
        <v>0</v>
      </c>
      <c r="L79" s="48">
        <f t="shared" ref="L79:X79" si="21">SUM(L74:L78)</f>
        <v>0</v>
      </c>
      <c r="M79" s="48">
        <f t="shared" si="21"/>
        <v>55000</v>
      </c>
      <c r="N79" s="180">
        <f t="shared" si="21"/>
        <v>0</v>
      </c>
      <c r="O79" s="180">
        <f t="shared" si="21"/>
        <v>0</v>
      </c>
      <c r="P79" s="180">
        <f t="shared" si="21"/>
        <v>2114</v>
      </c>
      <c r="Q79" s="180">
        <f t="shared" si="21"/>
        <v>124445</v>
      </c>
      <c r="R79" s="180">
        <f t="shared" si="21"/>
        <v>90681</v>
      </c>
      <c r="S79" s="180">
        <f t="shared" si="21"/>
        <v>11</v>
      </c>
      <c r="T79" s="180">
        <f t="shared" si="21"/>
        <v>90692</v>
      </c>
      <c r="U79" s="121">
        <f t="shared" si="21"/>
        <v>0</v>
      </c>
      <c r="V79" s="121">
        <f t="shared" si="21"/>
        <v>90692</v>
      </c>
      <c r="W79" s="121">
        <f t="shared" si="21"/>
        <v>0</v>
      </c>
      <c r="X79" s="121">
        <f t="shared" si="21"/>
        <v>90692</v>
      </c>
    </row>
    <row r="80" spans="1:24" ht="18" customHeight="1">
      <c r="A80" s="649">
        <v>68</v>
      </c>
      <c r="B80" s="652"/>
      <c r="C80" s="179"/>
      <c r="D80" s="13"/>
      <c r="E80" s="13"/>
      <c r="F80" s="13"/>
      <c r="G80" s="13"/>
      <c r="H80" s="13"/>
      <c r="I80" s="13"/>
      <c r="J80" s="13"/>
      <c r="K80" s="197"/>
      <c r="L80" s="197"/>
      <c r="M80" s="13"/>
      <c r="N80" s="13"/>
      <c r="O80" s="13"/>
      <c r="P80" s="13"/>
      <c r="Q80" s="13"/>
      <c r="R80" s="13"/>
      <c r="S80" s="13"/>
      <c r="T80" s="13"/>
      <c r="U80" s="647"/>
      <c r="V80" s="647"/>
      <c r="W80" s="647"/>
      <c r="X80" s="647"/>
    </row>
    <row r="81" spans="1:24" ht="18" customHeight="1">
      <c r="A81" s="747">
        <v>69</v>
      </c>
      <c r="B81" s="758"/>
      <c r="C81" s="764" t="s">
        <v>67</v>
      </c>
      <c r="D81" s="714" t="s">
        <v>104</v>
      </c>
      <c r="E81" s="754" t="s">
        <v>113</v>
      </c>
      <c r="F81" s="715" t="s">
        <v>109</v>
      </c>
      <c r="G81" s="13"/>
      <c r="H81" s="715" t="s">
        <v>115</v>
      </c>
      <c r="I81" s="714" t="s">
        <v>111</v>
      </c>
      <c r="J81" s="714" t="s">
        <v>256</v>
      </c>
      <c r="K81" s="740" t="s">
        <v>111</v>
      </c>
      <c r="L81" s="762" t="s">
        <v>257</v>
      </c>
      <c r="M81" s="715" t="str">
        <f t="shared" ref="M81:X81" si="22">M$7</f>
        <v>Előirányzat
4/2020. (III.05.) önkormányzati rendelet</v>
      </c>
      <c r="N81" s="715" t="str">
        <f t="shared" si="22"/>
        <v>Előirányzat
 5./2021. (II.25.) polgármesteri rendelet</v>
      </c>
      <c r="O81" s="715" t="str">
        <f t="shared" si="22"/>
        <v>Előirányzat
3/2022. (II.10.) önkormányzati rendelet</v>
      </c>
      <c r="P81" s="715" t="str">
        <f t="shared" si="22"/>
        <v>Előirányzat
1./2023. (II.23.) önkormányzati rendelet</v>
      </c>
      <c r="Q81" s="715" t="str">
        <f t="shared" si="22"/>
        <v>Előirányzat
 1./2024. (II.22.) önkormányzati rendelet</v>
      </c>
      <c r="R81" s="715" t="str">
        <f t="shared" si="22"/>
        <v>Előirányzat
2/2025. (II.20.) önkormányzati rendelet</v>
      </c>
      <c r="S81" s="715" t="str">
        <f t="shared" si="22"/>
        <v>Módosítás</v>
      </c>
      <c r="T81" s="715" t="str">
        <f t="shared" si="22"/>
        <v>Előirányzat 13/2025. (VI.26.) önkormányzati rendelet</v>
      </c>
      <c r="U81" s="755" t="str">
        <f t="shared" si="22"/>
        <v>Módosítás</v>
      </c>
      <c r="V81" s="755" t="str">
        <f t="shared" si="22"/>
        <v>Előirányzat 16/2025. (IX.25.) önkormányzati rendelet</v>
      </c>
      <c r="W81" s="755" t="str">
        <f t="shared" si="22"/>
        <v>Módosítás</v>
      </c>
      <c r="X81" s="755" t="str">
        <f t="shared" si="22"/>
        <v>Módosított előirányzat</v>
      </c>
    </row>
    <row r="82" spans="1:24" ht="18" customHeight="1">
      <c r="A82" s="748"/>
      <c r="B82" s="758"/>
      <c r="C82" s="764"/>
      <c r="D82" s="714"/>
      <c r="E82" s="754"/>
      <c r="F82" s="716"/>
      <c r="G82" s="13"/>
      <c r="H82" s="716"/>
      <c r="I82" s="714"/>
      <c r="J82" s="714"/>
      <c r="K82" s="741"/>
      <c r="L82" s="741"/>
      <c r="M82" s="716"/>
      <c r="N82" s="716"/>
      <c r="O82" s="716"/>
      <c r="P82" s="716"/>
      <c r="Q82" s="716"/>
      <c r="R82" s="716"/>
      <c r="S82" s="716"/>
      <c r="T82" s="716"/>
      <c r="U82" s="756"/>
      <c r="V82" s="756"/>
      <c r="W82" s="756"/>
      <c r="X82" s="756"/>
    </row>
    <row r="83" spans="1:24" ht="37.5" customHeight="1">
      <c r="A83" s="749"/>
      <c r="B83" s="758"/>
      <c r="C83" s="764"/>
      <c r="D83" s="714"/>
      <c r="E83" s="754"/>
      <c r="F83" s="717"/>
      <c r="G83" s="13"/>
      <c r="H83" s="717"/>
      <c r="I83" s="714"/>
      <c r="J83" s="714"/>
      <c r="K83" s="742"/>
      <c r="L83" s="742"/>
      <c r="M83" s="717"/>
      <c r="N83" s="717"/>
      <c r="O83" s="717"/>
      <c r="P83" s="717"/>
      <c r="Q83" s="717"/>
      <c r="R83" s="717"/>
      <c r="S83" s="717"/>
      <c r="T83" s="717"/>
      <c r="U83" s="757"/>
      <c r="V83" s="757"/>
      <c r="W83" s="757"/>
      <c r="X83" s="757"/>
    </row>
    <row r="84" spans="1:24" ht="18" customHeight="1">
      <c r="A84" s="649">
        <v>70</v>
      </c>
      <c r="B84" s="652" t="s">
        <v>72</v>
      </c>
      <c r="C84" s="13" t="s">
        <v>68</v>
      </c>
      <c r="D84" s="14">
        <v>304605</v>
      </c>
      <c r="E84" s="14">
        <v>305595</v>
      </c>
      <c r="F84" s="14">
        <v>324000</v>
      </c>
      <c r="G84" s="14">
        <v>0</v>
      </c>
      <c r="H84" s="14">
        <v>324000</v>
      </c>
      <c r="I84" s="209">
        <v>473</v>
      </c>
      <c r="J84" s="209">
        <f>I84+H84</f>
        <v>324473</v>
      </c>
      <c r="K84" s="14">
        <v>109</v>
      </c>
      <c r="L84" s="14">
        <f>J84+K84</f>
        <v>324582</v>
      </c>
      <c r="M84" s="14">
        <v>336000</v>
      </c>
      <c r="N84" s="14">
        <v>386873</v>
      </c>
      <c r="O84" s="14">
        <v>394562</v>
      </c>
      <c r="P84" s="14">
        <v>457521</v>
      </c>
      <c r="Q84" s="14">
        <f>'[1]Bevételek 1m'!S95</f>
        <v>588141</v>
      </c>
      <c r="R84" s="14">
        <f>'[1]Bevételek 1m'!T95</f>
        <v>734429</v>
      </c>
      <c r="S84" s="14">
        <f>'[1]Bevételek 1m'!U95</f>
        <v>-33723</v>
      </c>
      <c r="T84" s="14">
        <f>'[1]Bevételek 1m'!V95</f>
        <v>700706</v>
      </c>
      <c r="U84" s="651">
        <v>4050</v>
      </c>
      <c r="V84" s="651">
        <f>SUM(T84:U84)</f>
        <v>704756</v>
      </c>
      <c r="W84" s="651">
        <f>'[6]Bevételek 1m.'!Y96</f>
        <v>7245</v>
      </c>
      <c r="X84" s="651">
        <f>SUM(V84:W84)</f>
        <v>712001</v>
      </c>
    </row>
    <row r="85" spans="1:24" ht="18" customHeight="1">
      <c r="A85" s="649">
        <v>71</v>
      </c>
      <c r="B85" s="652" t="s">
        <v>73</v>
      </c>
      <c r="C85" s="13" t="s">
        <v>69</v>
      </c>
      <c r="D85" s="14">
        <v>73697</v>
      </c>
      <c r="E85" s="14">
        <v>74269</v>
      </c>
      <c r="F85" s="14">
        <v>84728</v>
      </c>
      <c r="G85" s="14">
        <v>3316</v>
      </c>
      <c r="H85" s="14">
        <f>G85+F85</f>
        <v>88044</v>
      </c>
      <c r="I85" s="209">
        <v>2478</v>
      </c>
      <c r="J85" s="209">
        <f>I85+H85</f>
        <v>90522</v>
      </c>
      <c r="K85" s="14">
        <v>12604</v>
      </c>
      <c r="L85" s="14">
        <f t="shared" ref="L85:L88" si="23">J85+K85</f>
        <v>103126</v>
      </c>
      <c r="M85" s="14">
        <v>95000</v>
      </c>
      <c r="N85" s="14">
        <v>79460</v>
      </c>
      <c r="O85" s="14">
        <v>95507</v>
      </c>
      <c r="P85" s="14">
        <v>120050</v>
      </c>
      <c r="Q85" s="14">
        <f>'[1]Bevételek 1m'!S125</f>
        <v>145212</v>
      </c>
      <c r="R85" s="14">
        <f>'[1]Bevételek 1m'!T125</f>
        <v>133397</v>
      </c>
      <c r="S85" s="14">
        <f>'[1]Bevételek 1m'!U125</f>
        <v>0</v>
      </c>
      <c r="T85" s="14">
        <f>'[1]Bevételek 1m'!V125</f>
        <v>133397</v>
      </c>
      <c r="U85" s="651">
        <f>'[1]Bevételek 1m'!W125</f>
        <v>0</v>
      </c>
      <c r="V85" s="651">
        <f t="shared" ref="V85:V87" si="24">SUM(T85:U85)</f>
        <v>133397</v>
      </c>
      <c r="W85" s="651">
        <f>'[1]Bevételek 1m'!Y125</f>
        <v>0</v>
      </c>
      <c r="X85" s="651">
        <f t="shared" ref="X85:X87" si="25">SUM(V85:W85)</f>
        <v>133397</v>
      </c>
    </row>
    <row r="86" spans="1:24" ht="18" customHeight="1">
      <c r="A86" s="649">
        <v>72</v>
      </c>
      <c r="B86" s="652" t="s">
        <v>74</v>
      </c>
      <c r="C86" s="13" t="s">
        <v>97</v>
      </c>
      <c r="D86" s="14">
        <v>309865</v>
      </c>
      <c r="E86" s="14">
        <v>345494</v>
      </c>
      <c r="F86" s="14">
        <v>375000</v>
      </c>
      <c r="G86" s="14">
        <v>14266</v>
      </c>
      <c r="H86" s="14">
        <f>G86+F86</f>
        <v>389266</v>
      </c>
      <c r="I86" s="209">
        <v>18636</v>
      </c>
      <c r="J86" s="209">
        <f>I86+H86</f>
        <v>407902</v>
      </c>
      <c r="K86" s="14">
        <v>5763</v>
      </c>
      <c r="L86" s="14">
        <f t="shared" si="23"/>
        <v>413665</v>
      </c>
      <c r="M86" s="14">
        <v>425000</v>
      </c>
      <c r="N86" s="14">
        <v>400478</v>
      </c>
      <c r="O86" s="14">
        <v>541247</v>
      </c>
      <c r="P86" s="14">
        <v>665442</v>
      </c>
      <c r="Q86" s="14">
        <f>'[1]Bevételek 1m'!S155</f>
        <v>731374</v>
      </c>
      <c r="R86" s="14">
        <f>'[1]Bevételek 1m'!T155</f>
        <v>764384</v>
      </c>
      <c r="S86" s="14">
        <f>'[1]Bevételek 1m'!U155</f>
        <v>24573</v>
      </c>
      <c r="T86" s="14">
        <f>'[1]Bevételek 1m'!V155</f>
        <v>788957</v>
      </c>
      <c r="U86" s="651">
        <v>14614</v>
      </c>
      <c r="V86" s="651">
        <f t="shared" si="24"/>
        <v>803571</v>
      </c>
      <c r="W86" s="651">
        <f>'[6]Bevételek 1m.'!Y156</f>
        <v>14092</v>
      </c>
      <c r="X86" s="651">
        <f t="shared" si="25"/>
        <v>817663</v>
      </c>
    </row>
    <row r="87" spans="1:24" ht="18" customHeight="1">
      <c r="A87" s="649">
        <v>73</v>
      </c>
      <c r="B87" s="652" t="s">
        <v>75</v>
      </c>
      <c r="C87" s="13" t="s">
        <v>522</v>
      </c>
      <c r="D87" s="14">
        <v>412105</v>
      </c>
      <c r="E87" s="14">
        <v>460780</v>
      </c>
      <c r="F87" s="14">
        <v>488359</v>
      </c>
      <c r="G87" s="14">
        <v>0</v>
      </c>
      <c r="H87" s="14">
        <v>488359</v>
      </c>
      <c r="I87" s="209">
        <v>7866</v>
      </c>
      <c r="J87" s="209">
        <f>I87+H87</f>
        <v>496225</v>
      </c>
      <c r="K87" s="14">
        <v>28011</v>
      </c>
      <c r="L87" s="14">
        <f t="shared" si="23"/>
        <v>524236</v>
      </c>
      <c r="M87" s="14">
        <v>435231</v>
      </c>
      <c r="N87" s="14">
        <v>458775</v>
      </c>
      <c r="O87" s="14">
        <v>493954</v>
      </c>
      <c r="P87" s="14">
        <v>591108</v>
      </c>
      <c r="Q87" s="14">
        <f>'[1]Bevételek 1m'!S65</f>
        <v>681007</v>
      </c>
      <c r="R87" s="14">
        <f>'[1]Bevételek 1m'!T65</f>
        <v>802544</v>
      </c>
      <c r="S87" s="14">
        <f>'[1]Bevételek 1m'!U65</f>
        <v>0</v>
      </c>
      <c r="T87" s="14">
        <f>'[1]Bevételek 1m'!V65</f>
        <v>802544</v>
      </c>
      <c r="U87" s="651">
        <v>30430</v>
      </c>
      <c r="V87" s="651">
        <f t="shared" si="24"/>
        <v>832974</v>
      </c>
      <c r="W87" s="651">
        <v>0</v>
      </c>
      <c r="X87" s="651">
        <f t="shared" si="25"/>
        <v>832974</v>
      </c>
    </row>
    <row r="88" spans="1:24" ht="18" customHeight="1">
      <c r="A88" s="649">
        <v>74</v>
      </c>
      <c r="B88" s="652"/>
      <c r="C88" s="179" t="s">
        <v>66</v>
      </c>
      <c r="D88" s="48">
        <f>D84+D85+D86+D87</f>
        <v>1100272</v>
      </c>
      <c r="E88" s="48">
        <f t="shared" ref="E88:F88" si="26">E84+E85+E86+E87</f>
        <v>1186138</v>
      </c>
      <c r="F88" s="48">
        <f t="shared" si="26"/>
        <v>1272087</v>
      </c>
      <c r="G88" s="48">
        <f>SUM(G84:G87)</f>
        <v>17582</v>
      </c>
      <c r="H88" s="48">
        <f>F88+G88</f>
        <v>1289669</v>
      </c>
      <c r="I88" s="208">
        <f t="shared" si="20"/>
        <v>29453</v>
      </c>
      <c r="J88" s="208">
        <f>SUM(J84:J87)</f>
        <v>1319122</v>
      </c>
      <c r="K88" s="48">
        <f>SUM(K84:K87)</f>
        <v>46487</v>
      </c>
      <c r="L88" s="48">
        <f t="shared" si="23"/>
        <v>1365609</v>
      </c>
      <c r="M88" s="48">
        <f t="shared" ref="M88:X88" si="27">SUM(M84:M87)</f>
        <v>1291231</v>
      </c>
      <c r="N88" s="180">
        <f t="shared" si="27"/>
        <v>1325586</v>
      </c>
      <c r="O88" s="180">
        <f t="shared" si="27"/>
        <v>1525270</v>
      </c>
      <c r="P88" s="180">
        <f t="shared" si="27"/>
        <v>1834121</v>
      </c>
      <c r="Q88" s="180">
        <f t="shared" si="27"/>
        <v>2145734</v>
      </c>
      <c r="R88" s="180">
        <f t="shared" si="27"/>
        <v>2434754</v>
      </c>
      <c r="S88" s="180">
        <f t="shared" si="27"/>
        <v>-9150</v>
      </c>
      <c r="T88" s="180">
        <f t="shared" si="27"/>
        <v>2425604</v>
      </c>
      <c r="U88" s="121">
        <f t="shared" si="27"/>
        <v>49094</v>
      </c>
      <c r="V88" s="121">
        <f t="shared" si="27"/>
        <v>2474698</v>
      </c>
      <c r="W88" s="121">
        <f t="shared" si="27"/>
        <v>21337</v>
      </c>
      <c r="X88" s="121">
        <f t="shared" si="27"/>
        <v>2496035</v>
      </c>
    </row>
    <row r="89" spans="1:24" customFormat="1" ht="39.75" customHeight="1">
      <c r="A89" s="685" t="s">
        <v>670</v>
      </c>
      <c r="B89" s="685"/>
      <c r="C89" s="685"/>
      <c r="D89" s="685"/>
      <c r="E89" s="685"/>
      <c r="F89" s="685"/>
      <c r="G89" s="685"/>
      <c r="H89" s="685"/>
      <c r="I89" s="685"/>
      <c r="J89" s="685"/>
      <c r="K89" s="685"/>
      <c r="L89" s="685"/>
      <c r="M89" s="685"/>
      <c r="N89" s="685"/>
      <c r="O89" s="685"/>
      <c r="P89" s="685"/>
      <c r="Q89" s="685"/>
      <c r="R89" s="685"/>
      <c r="S89" s="685"/>
      <c r="T89" s="685"/>
      <c r="U89" s="685"/>
      <c r="V89" s="685"/>
      <c r="W89" s="685"/>
      <c r="X89" s="685"/>
    </row>
    <row r="90" spans="1:24" ht="18" customHeight="1">
      <c r="B90" s="765"/>
      <c r="C90" s="766"/>
      <c r="D90" s="767"/>
    </row>
    <row r="91" spans="1:24" ht="18" customHeight="1">
      <c r="B91" s="765"/>
      <c r="C91" s="766"/>
      <c r="D91" s="767"/>
    </row>
    <row r="92" spans="1:24" ht="18" customHeight="1">
      <c r="B92" s="765"/>
      <c r="C92" s="766"/>
      <c r="D92" s="767"/>
      <c r="M92" s="163" t="s">
        <v>421</v>
      </c>
      <c r="N92" s="166">
        <f>SUM(N58,N70)-SUM('[1]Kiadások 2m'!O147,'[1]Kiadások 2m'!O15)</f>
        <v>-9701</v>
      </c>
      <c r="O92" s="166">
        <f>SUM(O58,O70)-SUM('[1]Kiadások 2m'!P147,'[1]Kiadások 2m'!P15)</f>
        <v>-13500</v>
      </c>
      <c r="P92" s="166">
        <f>SUM(P58,P70)-SUM('[1]Kiadások 2m'!Q147,'[1]Kiadások 2m'!Q15)</f>
        <v>-52896</v>
      </c>
      <c r="Q92" s="166">
        <f>SUM(Q58,Q70)-SUM('[1]Kiadások 2m'!R147,'[1]Kiadások 2m'!R15)</f>
        <v>0</v>
      </c>
      <c r="R92" s="166">
        <f>SUM(R58,R70)-SUM('[1]Kiadások 2m'!S147,'[1]Kiadások 2m'!S15)</f>
        <v>-250000</v>
      </c>
      <c r="S92" s="166">
        <f>SUM(S58,S70)-SUM('[1]Kiadások 2m'!T147,'[1]Kiadások 2m'!T146)</f>
        <v>0</v>
      </c>
      <c r="T92" s="166">
        <f>SUM(T58,T70)-SUM('[1]Kiadások 2m'!U147,'[1]Kiadások 2m'!U146)</f>
        <v>-250000</v>
      </c>
      <c r="U92" s="653">
        <f>SUM(U58,U70)-SUM('[1]Kiadások 2m'!V147,'[1]Kiadások 2m'!V146)</f>
        <v>14094</v>
      </c>
      <c r="V92" s="653">
        <f>SUM(V58,V70)-SUM('[1]Kiadások 2m'!W147,'[1]Kiadások 2m'!W146)</f>
        <v>741672</v>
      </c>
      <c r="W92" s="653">
        <f>SUM(W58,W70)-SUM('[1]Kiadások 2m'!X147,'[1]Kiadások 2m'!X146)</f>
        <v>600</v>
      </c>
      <c r="X92" s="653">
        <f>SUM(X58,X70)-SUM('[1]Kiadások 2m'!Y147,'[1]Kiadások 2m'!Y146)</f>
        <v>742272</v>
      </c>
    </row>
    <row r="93" spans="1:24" ht="18" customHeight="1">
      <c r="C93" s="210"/>
      <c r="E93" s="211"/>
      <c r="H93" s="163" t="s">
        <v>70</v>
      </c>
      <c r="M93" s="163" t="s">
        <v>422</v>
      </c>
      <c r="N93" s="166">
        <f>N79-'[1]Kiadások 2m'!O153</f>
        <v>0</v>
      </c>
      <c r="O93" s="166">
        <f>O79-'[1]Kiadások 2m'!P153</f>
        <v>0</v>
      </c>
      <c r="P93" s="166">
        <f>P79-'[1]Kiadások 2m'!Q153</f>
        <v>0</v>
      </c>
      <c r="Q93" s="166">
        <f>Q79-'[1]Kiadások 2m'!R153</f>
        <v>0</v>
      </c>
      <c r="R93" s="166">
        <f>R79-'[1]Kiadások 2m'!S153</f>
        <v>0</v>
      </c>
      <c r="S93" s="166">
        <f>S79-'[1]Kiadások 2m'!T153</f>
        <v>0</v>
      </c>
      <c r="T93" s="166">
        <f>T79-'[1]Kiadások 2m'!U153</f>
        <v>0</v>
      </c>
      <c r="U93" s="653">
        <f>U79-'[1]Kiadások 2m'!V153</f>
        <v>0</v>
      </c>
      <c r="V93" s="653">
        <f>V79-'[1]Kiadások 2m'!W153</f>
        <v>90692</v>
      </c>
      <c r="W93" s="653">
        <f>W79-'[1]Kiadások 2m'!X153</f>
        <v>0</v>
      </c>
      <c r="X93" s="653">
        <f>X79-'[1]Kiadások 2m'!Y153</f>
        <v>90692</v>
      </c>
    </row>
    <row r="94" spans="1:24" ht="18" customHeight="1">
      <c r="B94" s="654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163" t="s">
        <v>423</v>
      </c>
      <c r="N94" s="166">
        <f>N88-'[1]Kiadások 2m'!O162</f>
        <v>0</v>
      </c>
      <c r="O94" s="166">
        <f>O88-'[1]Kiadások 2m'!P162</f>
        <v>0</v>
      </c>
      <c r="P94" s="166">
        <f>P88-'[1]Kiadások 2m'!Q162</f>
        <v>0</v>
      </c>
      <c r="Q94" s="166">
        <f>Q88-'[1]Kiadások 2m'!R162</f>
        <v>0</v>
      </c>
      <c r="R94" s="166">
        <f>R88-'[1]Kiadások 2m'!S162</f>
        <v>0</v>
      </c>
      <c r="S94" s="166">
        <f>S88-'[1]Kiadások 2m'!T162</f>
        <v>0</v>
      </c>
      <c r="T94" s="166">
        <f>T88-'[1]Kiadások 2m'!U162</f>
        <v>0</v>
      </c>
      <c r="U94" s="653">
        <f>U88-'[1]Kiadások 2m'!V162</f>
        <v>49094</v>
      </c>
      <c r="V94" s="653">
        <f>V88-'[1]Kiadások 2m'!W162</f>
        <v>2474698</v>
      </c>
      <c r="W94" s="653">
        <f>W88-'[1]Kiadások 2m'!X162</f>
        <v>21337</v>
      </c>
      <c r="X94" s="653">
        <f>X88-'[1]Kiadások 2m'!Y162</f>
        <v>2496035</v>
      </c>
    </row>
    <row r="95" spans="1:24" ht="14.25" customHeight="1">
      <c r="E95" s="211"/>
    </row>
  </sheetData>
  <mergeCells count="102">
    <mergeCell ref="T81:T83"/>
    <mergeCell ref="U81:U83"/>
    <mergeCell ref="V81:V83"/>
    <mergeCell ref="W81:W83"/>
    <mergeCell ref="X81:X83"/>
    <mergeCell ref="B90:B92"/>
    <mergeCell ref="C90:C92"/>
    <mergeCell ref="D90:D92"/>
    <mergeCell ref="A89:X89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B83"/>
    <mergeCell ref="C81:C83"/>
    <mergeCell ref="D81:D83"/>
    <mergeCell ref="E81:E83"/>
    <mergeCell ref="F81:F83"/>
    <mergeCell ref="S71:S73"/>
    <mergeCell ref="T71:T73"/>
    <mergeCell ref="U71:U73"/>
    <mergeCell ref="V71:V73"/>
    <mergeCell ref="W71:W73"/>
    <mergeCell ref="X71:X73"/>
    <mergeCell ref="M71:M73"/>
    <mergeCell ref="N71:N73"/>
    <mergeCell ref="O71:O73"/>
    <mergeCell ref="P71:P73"/>
    <mergeCell ref="Q71:Q73"/>
    <mergeCell ref="R71:R73"/>
    <mergeCell ref="F71:F73"/>
    <mergeCell ref="H71:H73"/>
    <mergeCell ref="I71:I73"/>
    <mergeCell ref="J71:J73"/>
    <mergeCell ref="K71:K73"/>
    <mergeCell ref="L71:L73"/>
    <mergeCell ref="T59:T61"/>
    <mergeCell ref="U59:U61"/>
    <mergeCell ref="V59:V61"/>
    <mergeCell ref="W59:W61"/>
    <mergeCell ref="X59:X61"/>
    <mergeCell ref="A71:A73"/>
    <mergeCell ref="B71:B73"/>
    <mergeCell ref="C71:C73"/>
    <mergeCell ref="D71:D73"/>
    <mergeCell ref="E71:E73"/>
    <mergeCell ref="N59:N61"/>
    <mergeCell ref="O59:O61"/>
    <mergeCell ref="P59:P61"/>
    <mergeCell ref="Q59:Q61"/>
    <mergeCell ref="R59:R61"/>
    <mergeCell ref="S59:S61"/>
    <mergeCell ref="H59:H61"/>
    <mergeCell ref="I59:I61"/>
    <mergeCell ref="J59:J61"/>
    <mergeCell ref="K59:K61"/>
    <mergeCell ref="L59:L61"/>
    <mergeCell ref="M59:M61"/>
    <mergeCell ref="A59:A61"/>
    <mergeCell ref="B59:B61"/>
    <mergeCell ref="C59:C61"/>
    <mergeCell ref="D59:D61"/>
    <mergeCell ref="E59:E61"/>
    <mergeCell ref="F59:F61"/>
    <mergeCell ref="S7:S9"/>
    <mergeCell ref="T7:T9"/>
    <mergeCell ref="U7:U9"/>
    <mergeCell ref="V7:V9"/>
    <mergeCell ref="W7:W9"/>
    <mergeCell ref="X7:X9"/>
    <mergeCell ref="M7:M9"/>
    <mergeCell ref="N7:N9"/>
    <mergeCell ref="O7:O9"/>
    <mergeCell ref="P7:P9"/>
    <mergeCell ref="Q7:Q9"/>
    <mergeCell ref="R7:R9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  <mergeCell ref="A1:X1"/>
    <mergeCell ref="A2:X2"/>
    <mergeCell ref="A3:Q3"/>
    <mergeCell ref="U5:V5"/>
    <mergeCell ref="W5:X5"/>
  </mergeCells>
  <pageMargins left="0.7" right="0.7" top="0.75" bottom="0.75" header="0.3" footer="0.3"/>
  <pageSetup paperSize="9" scale="52" orientation="portrait" r:id="rId1"/>
  <rowBreaks count="1" manualBreakCount="1"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2632-92A1-4BA2-89C8-590C70AFA9BE}">
  <dimension ref="A1:AA28"/>
  <sheetViews>
    <sheetView view="pageBreakPreview" zoomScale="60" zoomScaleNormal="100" workbookViewId="0">
      <selection activeCell="A25" sqref="A25:AA25"/>
    </sheetView>
  </sheetViews>
  <sheetFormatPr defaultColWidth="9.140625" defaultRowHeight="15"/>
  <cols>
    <col min="1" max="1" width="9.140625" style="163"/>
    <col min="2" max="2" width="8.85546875" style="163" customWidth="1"/>
    <col min="3" max="3" width="64.42578125" style="163" customWidth="1"/>
    <col min="4" max="4" width="17" style="163" hidden="1" customWidth="1"/>
    <col min="5" max="5" width="18.140625" style="163" hidden="1" customWidth="1"/>
    <col min="6" max="6" width="16.42578125" style="163" hidden="1" customWidth="1"/>
    <col min="7" max="7" width="15.42578125" style="163" hidden="1" customWidth="1"/>
    <col min="8" max="8" width="6.42578125" style="163" hidden="1" customWidth="1"/>
    <col min="9" max="9" width="23.85546875" style="163" hidden="1" customWidth="1"/>
    <col min="10" max="10" width="0.140625" style="163" hidden="1" customWidth="1"/>
    <col min="11" max="11" width="15.42578125" style="163" hidden="1" customWidth="1"/>
    <col min="12" max="12" width="14" style="163" hidden="1" customWidth="1"/>
    <col min="13" max="13" width="15.42578125" style="165" hidden="1" customWidth="1"/>
    <col min="14" max="14" width="14" style="163" hidden="1" customWidth="1"/>
    <col min="15" max="15" width="22.42578125" style="165" hidden="1" customWidth="1"/>
    <col min="16" max="16" width="19.42578125" style="163" hidden="1" customWidth="1"/>
    <col min="17" max="19" width="20.85546875" style="163" hidden="1" customWidth="1"/>
    <col min="20" max="20" width="17.7109375" style="163" customWidth="1"/>
    <col min="21" max="21" width="19" style="163" customWidth="1"/>
    <col min="22" max="22" width="16.140625" style="163" hidden="1" customWidth="1"/>
    <col min="23" max="23" width="15.42578125" style="163" customWidth="1"/>
    <col min="24" max="24" width="16.140625" style="622" hidden="1" customWidth="1"/>
    <col min="25" max="25" width="15.42578125" style="622" customWidth="1"/>
    <col min="26" max="26" width="16.140625" style="622" customWidth="1"/>
    <col min="27" max="27" width="15.42578125" style="622" customWidth="1"/>
    <col min="28" max="16384" width="9.140625" style="163"/>
  </cols>
  <sheetData>
    <row r="1" spans="1:27" s="633" customFormat="1" ht="15" customHeight="1">
      <c r="A1" s="679" t="s">
        <v>665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</row>
    <row r="2" spans="1:27" ht="18.75" customHeight="1">
      <c r="A2" s="709" t="s">
        <v>559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</row>
    <row r="3" spans="1:27" ht="18.75" customHeight="1">
      <c r="A3" s="709"/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</row>
    <row r="4" spans="1:27" ht="12.75" customHeight="1">
      <c r="B4" s="167"/>
      <c r="C4" s="167"/>
      <c r="D4" s="167"/>
      <c r="E4" s="167"/>
    </row>
    <row r="5" spans="1:27" ht="12.75" customHeight="1">
      <c r="B5" s="167"/>
      <c r="C5" s="167"/>
      <c r="D5" s="167"/>
      <c r="E5" s="167"/>
      <c r="S5" s="165" t="s">
        <v>71</v>
      </c>
      <c r="T5" s="165"/>
      <c r="U5" s="165"/>
      <c r="V5" s="165"/>
      <c r="W5" s="165"/>
      <c r="X5" s="641"/>
      <c r="Y5" s="641" t="s">
        <v>71</v>
      </c>
      <c r="Z5" s="641"/>
      <c r="AA5" s="641" t="s">
        <v>56</v>
      </c>
    </row>
    <row r="6" spans="1:27" s="622" customFormat="1">
      <c r="A6" s="569"/>
      <c r="B6" s="561" t="s">
        <v>414</v>
      </c>
      <c r="C6" s="561" t="s">
        <v>415</v>
      </c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 t="s">
        <v>416</v>
      </c>
      <c r="Q6" s="561" t="s">
        <v>416</v>
      </c>
      <c r="R6" s="561" t="s">
        <v>416</v>
      </c>
      <c r="S6" s="561" t="s">
        <v>416</v>
      </c>
      <c r="T6" s="561" t="s">
        <v>416</v>
      </c>
      <c r="U6" s="561" t="s">
        <v>417</v>
      </c>
      <c r="V6" s="561" t="s">
        <v>461</v>
      </c>
      <c r="W6" s="561" t="s">
        <v>461</v>
      </c>
      <c r="X6" s="561" t="s">
        <v>419</v>
      </c>
      <c r="Y6" s="561" t="s">
        <v>419</v>
      </c>
      <c r="Z6" s="561" t="s">
        <v>424</v>
      </c>
      <c r="AA6" s="561" t="s">
        <v>425</v>
      </c>
    </row>
    <row r="7" spans="1:27" ht="39" customHeight="1">
      <c r="A7" s="768">
        <v>1</v>
      </c>
      <c r="B7" s="717" t="s">
        <v>57</v>
      </c>
      <c r="C7" s="717"/>
      <c r="D7" s="717" t="s">
        <v>104</v>
      </c>
      <c r="E7" s="717"/>
      <c r="F7" s="717"/>
      <c r="G7" s="717"/>
      <c r="H7" s="723" t="s">
        <v>113</v>
      </c>
      <c r="I7" s="716" t="s">
        <v>109</v>
      </c>
      <c r="J7" s="760" t="s">
        <v>111</v>
      </c>
      <c r="K7" s="716" t="s">
        <v>115</v>
      </c>
      <c r="L7" s="716" t="s">
        <v>111</v>
      </c>
      <c r="M7" s="716" t="s">
        <v>255</v>
      </c>
      <c r="N7" s="716" t="s">
        <v>111</v>
      </c>
      <c r="O7" s="716" t="s">
        <v>260</v>
      </c>
      <c r="P7" s="716" t="s">
        <v>457</v>
      </c>
      <c r="Q7" s="716" t="s">
        <v>460</v>
      </c>
      <c r="R7" s="715" t="s">
        <v>484</v>
      </c>
      <c r="S7" s="715" t="s">
        <v>501</v>
      </c>
      <c r="T7" s="715" t="s">
        <v>536</v>
      </c>
      <c r="U7" s="721" t="s">
        <v>581</v>
      </c>
      <c r="V7" s="721" t="s">
        <v>111</v>
      </c>
      <c r="W7" s="721" t="s">
        <v>609</v>
      </c>
      <c r="X7" s="724" t="s">
        <v>111</v>
      </c>
      <c r="Y7" s="724" t="s">
        <v>637</v>
      </c>
      <c r="Z7" s="724" t="s">
        <v>111</v>
      </c>
      <c r="AA7" s="724" t="s">
        <v>582</v>
      </c>
    </row>
    <row r="8" spans="1:27" ht="15" customHeight="1">
      <c r="A8" s="768"/>
      <c r="B8" s="714"/>
      <c r="C8" s="714"/>
      <c r="D8" s="714"/>
      <c r="E8" s="714"/>
      <c r="F8" s="714"/>
      <c r="G8" s="714"/>
      <c r="H8" s="754"/>
      <c r="I8" s="716"/>
      <c r="J8" s="760"/>
      <c r="K8" s="760"/>
      <c r="L8" s="760"/>
      <c r="M8" s="760"/>
      <c r="N8" s="760"/>
      <c r="O8" s="716"/>
      <c r="P8" s="716"/>
      <c r="Q8" s="716"/>
      <c r="R8" s="716"/>
      <c r="S8" s="716"/>
      <c r="T8" s="716"/>
      <c r="U8" s="722"/>
      <c r="V8" s="722"/>
      <c r="W8" s="722"/>
      <c r="X8" s="725"/>
      <c r="Y8" s="725"/>
      <c r="Z8" s="725"/>
      <c r="AA8" s="725"/>
    </row>
    <row r="9" spans="1:27" ht="11.45" customHeight="1">
      <c r="A9" s="768"/>
      <c r="B9" s="714"/>
      <c r="C9" s="714"/>
      <c r="D9" s="714"/>
      <c r="E9" s="714"/>
      <c r="F9" s="714"/>
      <c r="G9" s="714"/>
      <c r="H9" s="754"/>
      <c r="I9" s="717"/>
      <c r="J9" s="761"/>
      <c r="K9" s="761"/>
      <c r="L9" s="761"/>
      <c r="M9" s="761"/>
      <c r="N9" s="761"/>
      <c r="O9" s="717"/>
      <c r="P9" s="717"/>
      <c r="Q9" s="717"/>
      <c r="R9" s="717"/>
      <c r="S9" s="717"/>
      <c r="T9" s="717"/>
      <c r="U9" s="723"/>
      <c r="V9" s="723"/>
      <c r="W9" s="723"/>
      <c r="X9" s="726"/>
      <c r="Y9" s="726"/>
      <c r="Z9" s="726"/>
      <c r="AA9" s="726"/>
    </row>
    <row r="10" spans="1:27">
      <c r="A10" s="194">
        <v>2</v>
      </c>
      <c r="B10" s="13" t="s">
        <v>72</v>
      </c>
      <c r="C10" s="13" t="s">
        <v>93</v>
      </c>
      <c r="D10" s="14">
        <v>0</v>
      </c>
      <c r="E10" s="213"/>
      <c r="F10" s="213"/>
      <c r="G10" s="213"/>
      <c r="H10" s="14">
        <v>4853</v>
      </c>
      <c r="I10" s="14">
        <v>0</v>
      </c>
      <c r="J10" s="13">
        <v>0</v>
      </c>
      <c r="K10" s="14">
        <v>0</v>
      </c>
      <c r="L10" s="14">
        <v>2300</v>
      </c>
      <c r="M10" s="14">
        <f t="shared" ref="M10:M11" si="0">K10+L10</f>
        <v>2300</v>
      </c>
      <c r="N10" s="14"/>
      <c r="O10" s="14">
        <f t="shared" ref="O10:O11" si="1">M10+N10</f>
        <v>2300</v>
      </c>
      <c r="P10" s="14">
        <v>7500</v>
      </c>
      <c r="Q10" s="14">
        <v>0</v>
      </c>
      <c r="R10" s="14">
        <v>4000</v>
      </c>
      <c r="S10" s="14">
        <v>3000</v>
      </c>
      <c r="T10" s="14">
        <v>11500</v>
      </c>
      <c r="U10" s="14">
        <v>24579</v>
      </c>
      <c r="V10" s="14">
        <v>0</v>
      </c>
      <c r="W10" s="14">
        <f>SUM(U10:V10)</f>
        <v>24579</v>
      </c>
      <c r="X10" s="565">
        <v>0</v>
      </c>
      <c r="Y10" s="565">
        <f t="shared" ref="Y10:Y22" si="2">SUM(W10:X10)</f>
        <v>24579</v>
      </c>
      <c r="Z10" s="565">
        <v>0</v>
      </c>
      <c r="AA10" s="565">
        <f>SUM(Y10:Z10)</f>
        <v>24579</v>
      </c>
    </row>
    <row r="11" spans="1:27">
      <c r="A11" s="194">
        <v>3</v>
      </c>
      <c r="B11" s="13" t="s">
        <v>73</v>
      </c>
      <c r="C11" s="13" t="s">
        <v>105</v>
      </c>
      <c r="D11" s="14">
        <v>22180</v>
      </c>
      <c r="E11" s="213"/>
      <c r="F11" s="213"/>
      <c r="G11" s="213"/>
      <c r="H11" s="14">
        <v>27030</v>
      </c>
      <c r="I11" s="14">
        <v>0</v>
      </c>
      <c r="J11" s="13">
        <v>0</v>
      </c>
      <c r="K11" s="14">
        <v>0</v>
      </c>
      <c r="L11" s="14">
        <v>1085</v>
      </c>
      <c r="M11" s="14">
        <f t="shared" si="0"/>
        <v>1085</v>
      </c>
      <c r="N11" s="14"/>
      <c r="O11" s="14">
        <f t="shared" si="1"/>
        <v>1085</v>
      </c>
      <c r="P11" s="14">
        <v>6500</v>
      </c>
      <c r="Q11" s="14">
        <v>7000</v>
      </c>
      <c r="R11" s="14">
        <v>10400</v>
      </c>
      <c r="S11" s="14">
        <v>10400</v>
      </c>
      <c r="T11" s="14">
        <v>10000</v>
      </c>
      <c r="U11" s="14">
        <v>0</v>
      </c>
      <c r="V11" s="14">
        <v>0</v>
      </c>
      <c r="W11" s="14">
        <f t="shared" ref="W11:W22" si="3">SUM(U11:V11)</f>
        <v>0</v>
      </c>
      <c r="X11" s="565">
        <v>0</v>
      </c>
      <c r="Y11" s="565">
        <f t="shared" si="2"/>
        <v>0</v>
      </c>
      <c r="Z11" s="565">
        <v>0</v>
      </c>
      <c r="AA11" s="565">
        <f t="shared" ref="AA11:AA22" si="4">SUM(Y11:Z11)</f>
        <v>0</v>
      </c>
    </row>
    <row r="12" spans="1:27" ht="30">
      <c r="A12" s="194">
        <v>4</v>
      </c>
      <c r="B12" s="13" t="s">
        <v>74</v>
      </c>
      <c r="C12" s="214" t="s">
        <v>586</v>
      </c>
      <c r="D12" s="14">
        <v>0</v>
      </c>
      <c r="E12" s="213"/>
      <c r="F12" s="213"/>
      <c r="G12" s="213"/>
      <c r="H12" s="14">
        <v>114602</v>
      </c>
      <c r="I12" s="14">
        <v>0</v>
      </c>
      <c r="J12" s="13">
        <v>0</v>
      </c>
      <c r="K12" s="14">
        <v>0</v>
      </c>
      <c r="L12" s="14">
        <v>15962</v>
      </c>
      <c r="M12" s="14">
        <f>K12+L12</f>
        <v>15962</v>
      </c>
      <c r="N12" s="14"/>
      <c r="O12" s="14">
        <f>M12+N12</f>
        <v>15962</v>
      </c>
      <c r="P12" s="14">
        <v>0</v>
      </c>
      <c r="Q12" s="14">
        <v>14859</v>
      </c>
      <c r="R12" s="14">
        <v>18000</v>
      </c>
      <c r="S12" s="14">
        <v>0</v>
      </c>
      <c r="T12" s="14">
        <v>0</v>
      </c>
      <c r="U12" s="14">
        <v>509115</v>
      </c>
      <c r="V12" s="14">
        <v>0</v>
      </c>
      <c r="W12" s="14">
        <f t="shared" si="3"/>
        <v>509115</v>
      </c>
      <c r="X12" s="565">
        <v>0</v>
      </c>
      <c r="Y12" s="565">
        <f t="shared" si="2"/>
        <v>509115</v>
      </c>
      <c r="Z12" s="565">
        <v>0</v>
      </c>
      <c r="AA12" s="565">
        <f t="shared" si="4"/>
        <v>509115</v>
      </c>
    </row>
    <row r="13" spans="1:27">
      <c r="A13" s="194">
        <v>5</v>
      </c>
      <c r="B13" s="13" t="s">
        <v>75</v>
      </c>
      <c r="C13" s="13" t="s">
        <v>602</v>
      </c>
      <c r="D13" s="14"/>
      <c r="E13" s="213"/>
      <c r="F13" s="213"/>
      <c r="G13" s="213"/>
      <c r="H13" s="14"/>
      <c r="I13" s="14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>
        <v>0</v>
      </c>
      <c r="U13" s="14">
        <v>0</v>
      </c>
      <c r="V13" s="14">
        <v>18542</v>
      </c>
      <c r="W13" s="14">
        <f t="shared" si="3"/>
        <v>18542</v>
      </c>
      <c r="X13" s="565">
        <v>0</v>
      </c>
      <c r="Y13" s="565">
        <f t="shared" si="2"/>
        <v>18542</v>
      </c>
      <c r="Z13" s="565">
        <v>0</v>
      </c>
      <c r="AA13" s="565">
        <f t="shared" si="4"/>
        <v>18542</v>
      </c>
    </row>
    <row r="14" spans="1:27">
      <c r="A14" s="194">
        <v>6</v>
      </c>
      <c r="B14" s="13" t="s">
        <v>76</v>
      </c>
      <c r="C14" s="13" t="s">
        <v>603</v>
      </c>
      <c r="D14" s="14"/>
      <c r="E14" s="213"/>
      <c r="F14" s="213"/>
      <c r="G14" s="213"/>
      <c r="H14" s="14"/>
      <c r="I14" s="14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>
        <v>0</v>
      </c>
      <c r="U14" s="14">
        <v>0</v>
      </c>
      <c r="V14" s="14">
        <v>3556</v>
      </c>
      <c r="W14" s="14">
        <f t="shared" si="3"/>
        <v>3556</v>
      </c>
      <c r="X14" s="565">
        <v>0</v>
      </c>
      <c r="Y14" s="565">
        <f t="shared" si="2"/>
        <v>3556</v>
      </c>
      <c r="Z14" s="565">
        <v>0</v>
      </c>
      <c r="AA14" s="565">
        <f t="shared" si="4"/>
        <v>3556</v>
      </c>
    </row>
    <row r="15" spans="1:27">
      <c r="A15" s="194">
        <v>7</v>
      </c>
      <c r="B15" s="13" t="s">
        <v>77</v>
      </c>
      <c r="C15" s="13" t="s">
        <v>604</v>
      </c>
      <c r="D15" s="14"/>
      <c r="E15" s="213"/>
      <c r="F15" s="213"/>
      <c r="G15" s="213"/>
      <c r="H15" s="14"/>
      <c r="I15" s="14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>
        <v>0</v>
      </c>
      <c r="U15" s="14">
        <v>0</v>
      </c>
      <c r="V15" s="14">
        <v>384</v>
      </c>
      <c r="W15" s="14">
        <f t="shared" si="3"/>
        <v>384</v>
      </c>
      <c r="X15" s="565">
        <v>0</v>
      </c>
      <c r="Y15" s="565">
        <f t="shared" si="2"/>
        <v>384</v>
      </c>
      <c r="Z15" s="565">
        <v>0</v>
      </c>
      <c r="AA15" s="565">
        <f t="shared" si="4"/>
        <v>384</v>
      </c>
    </row>
    <row r="16" spans="1:27" ht="30">
      <c r="A16" s="194">
        <v>8</v>
      </c>
      <c r="B16" s="13" t="s">
        <v>78</v>
      </c>
      <c r="C16" s="214" t="s">
        <v>587</v>
      </c>
      <c r="D16" s="14"/>
      <c r="E16" s="213"/>
      <c r="F16" s="213"/>
      <c r="G16" s="213"/>
      <c r="H16" s="14"/>
      <c r="I16" s="14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>
        <v>0</v>
      </c>
      <c r="U16" s="14">
        <v>0</v>
      </c>
      <c r="V16" s="14">
        <v>231875</v>
      </c>
      <c r="W16" s="14">
        <f t="shared" si="3"/>
        <v>231875</v>
      </c>
      <c r="X16" s="565">
        <v>0</v>
      </c>
      <c r="Y16" s="565">
        <f t="shared" si="2"/>
        <v>231875</v>
      </c>
      <c r="Z16" s="565">
        <v>0</v>
      </c>
      <c r="AA16" s="565">
        <f t="shared" si="4"/>
        <v>231875</v>
      </c>
    </row>
    <row r="17" spans="1:27" ht="30">
      <c r="A17" s="194">
        <v>9</v>
      </c>
      <c r="B17" s="13" t="s">
        <v>79</v>
      </c>
      <c r="C17" s="214" t="s">
        <v>632</v>
      </c>
      <c r="D17" s="14"/>
      <c r="E17" s="213"/>
      <c r="F17" s="213"/>
      <c r="G17" s="213"/>
      <c r="H17" s="14"/>
      <c r="I17" s="14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>
        <v>0</v>
      </c>
      <c r="U17" s="14">
        <v>0</v>
      </c>
      <c r="V17" s="14"/>
      <c r="W17" s="14">
        <v>0</v>
      </c>
      <c r="X17" s="565">
        <v>18500</v>
      </c>
      <c r="Y17" s="565">
        <f t="shared" si="2"/>
        <v>18500</v>
      </c>
      <c r="Z17" s="565">
        <v>0</v>
      </c>
      <c r="AA17" s="565">
        <f t="shared" si="4"/>
        <v>18500</v>
      </c>
    </row>
    <row r="18" spans="1:27">
      <c r="A18" s="194">
        <v>10</v>
      </c>
      <c r="B18" s="13" t="s">
        <v>80</v>
      </c>
      <c r="C18" s="13" t="s">
        <v>110</v>
      </c>
      <c r="D18" s="14">
        <v>0</v>
      </c>
      <c r="E18" s="213"/>
      <c r="F18" s="213"/>
      <c r="G18" s="213"/>
      <c r="H18" s="14">
        <v>0</v>
      </c>
      <c r="I18" s="14">
        <f>4500*1.27</f>
        <v>5715</v>
      </c>
      <c r="J18" s="13">
        <v>0</v>
      </c>
      <c r="K18" s="14">
        <v>5715</v>
      </c>
      <c r="L18" s="14">
        <v>0</v>
      </c>
      <c r="M18" s="14">
        <f t="shared" ref="M18" si="5">K18+L18</f>
        <v>5715</v>
      </c>
      <c r="N18" s="14"/>
      <c r="O18" s="14">
        <f t="shared" ref="O18" si="6">M18+N18</f>
        <v>5715</v>
      </c>
      <c r="P18" s="14">
        <v>20000</v>
      </c>
      <c r="Q18" s="14">
        <v>10200</v>
      </c>
      <c r="R18" s="14">
        <v>15000</v>
      </c>
      <c r="S18" s="14">
        <v>10000</v>
      </c>
      <c r="T18" s="14">
        <v>0</v>
      </c>
      <c r="U18" s="14">
        <v>1000</v>
      </c>
      <c r="V18" s="14">
        <v>0</v>
      </c>
      <c r="W18" s="14">
        <f t="shared" si="3"/>
        <v>1000</v>
      </c>
      <c r="X18" s="565">
        <v>0</v>
      </c>
      <c r="Y18" s="565">
        <f t="shared" si="2"/>
        <v>1000</v>
      </c>
      <c r="Z18" s="565">
        <v>0</v>
      </c>
      <c r="AA18" s="565">
        <f t="shared" si="4"/>
        <v>1000</v>
      </c>
    </row>
    <row r="19" spans="1:27">
      <c r="A19" s="194">
        <v>11</v>
      </c>
      <c r="B19" s="13" t="s">
        <v>81</v>
      </c>
      <c r="C19" s="13" t="s">
        <v>633</v>
      </c>
      <c r="D19" s="14"/>
      <c r="E19" s="213"/>
      <c r="F19" s="213"/>
      <c r="G19" s="213"/>
      <c r="H19" s="14"/>
      <c r="I19" s="14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>
        <v>0</v>
      </c>
      <c r="U19" s="14">
        <v>0</v>
      </c>
      <c r="V19" s="14"/>
      <c r="W19" s="14">
        <v>0</v>
      </c>
      <c r="X19" s="565">
        <v>8730</v>
      </c>
      <c r="Y19" s="565">
        <f t="shared" si="2"/>
        <v>8730</v>
      </c>
      <c r="Z19" s="565">
        <v>0</v>
      </c>
      <c r="AA19" s="565">
        <f t="shared" si="4"/>
        <v>8730</v>
      </c>
    </row>
    <row r="20" spans="1:27">
      <c r="A20" s="194">
        <v>12</v>
      </c>
      <c r="B20" s="13" t="s">
        <v>82</v>
      </c>
      <c r="C20" s="13" t="s">
        <v>666</v>
      </c>
      <c r="D20" s="14"/>
      <c r="E20" s="213"/>
      <c r="F20" s="213"/>
      <c r="G20" s="213"/>
      <c r="H20" s="14"/>
      <c r="I20" s="14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14">
        <v>0</v>
      </c>
      <c r="U20" s="14">
        <v>0</v>
      </c>
      <c r="V20" s="14"/>
      <c r="W20" s="14">
        <v>0</v>
      </c>
      <c r="X20" s="565"/>
      <c r="Y20" s="565">
        <v>0</v>
      </c>
      <c r="Z20" s="565">
        <v>143368</v>
      </c>
      <c r="AA20" s="565">
        <f t="shared" si="4"/>
        <v>143368</v>
      </c>
    </row>
    <row r="21" spans="1:27">
      <c r="A21" s="194">
        <v>13</v>
      </c>
      <c r="B21" s="13" t="s">
        <v>83</v>
      </c>
      <c r="C21" s="13" t="s">
        <v>498</v>
      </c>
      <c r="D21" s="14"/>
      <c r="E21" s="213"/>
      <c r="F21" s="213"/>
      <c r="G21" s="213"/>
      <c r="H21" s="14"/>
      <c r="I21" s="14"/>
      <c r="J21" s="13"/>
      <c r="K21" s="14"/>
      <c r="L21" s="14"/>
      <c r="M21" s="14"/>
      <c r="N21" s="14"/>
      <c r="O21" s="14"/>
      <c r="P21" s="14">
        <v>0</v>
      </c>
      <c r="Q21" s="14">
        <v>591</v>
      </c>
      <c r="R21" s="14">
        <v>0</v>
      </c>
      <c r="S21" s="14">
        <v>3000</v>
      </c>
      <c r="T21" s="14">
        <v>9750</v>
      </c>
      <c r="U21" s="14">
        <v>520</v>
      </c>
      <c r="V21" s="14">
        <v>0</v>
      </c>
      <c r="W21" s="14">
        <f t="shared" si="3"/>
        <v>520</v>
      </c>
      <c r="X21" s="565">
        <v>0</v>
      </c>
      <c r="Y21" s="565">
        <f t="shared" si="2"/>
        <v>520</v>
      </c>
      <c r="Z21" s="565">
        <v>0</v>
      </c>
      <c r="AA21" s="565">
        <f t="shared" si="4"/>
        <v>520</v>
      </c>
    </row>
    <row r="22" spans="1:27">
      <c r="A22" s="194">
        <v>14</v>
      </c>
      <c r="B22" s="13" t="s">
        <v>84</v>
      </c>
      <c r="C22" s="13" t="s">
        <v>605</v>
      </c>
      <c r="D22" s="14"/>
      <c r="E22" s="213"/>
      <c r="F22" s="213"/>
      <c r="G22" s="213"/>
      <c r="H22" s="14"/>
      <c r="I22" s="14"/>
      <c r="J22" s="13"/>
      <c r="K22" s="14"/>
      <c r="L22" s="14"/>
      <c r="M22" s="14"/>
      <c r="N22" s="14"/>
      <c r="O22" s="14"/>
      <c r="P22" s="14"/>
      <c r="Q22" s="14"/>
      <c r="R22" s="14"/>
      <c r="S22" s="14"/>
      <c r="T22" s="14">
        <v>0</v>
      </c>
      <c r="U22" s="14">
        <v>0</v>
      </c>
      <c r="V22" s="14">
        <v>10217</v>
      </c>
      <c r="W22" s="14">
        <f t="shared" si="3"/>
        <v>10217</v>
      </c>
      <c r="X22" s="565">
        <v>0</v>
      </c>
      <c r="Y22" s="565">
        <f t="shared" si="2"/>
        <v>10217</v>
      </c>
      <c r="Z22" s="565">
        <v>0</v>
      </c>
      <c r="AA22" s="565">
        <f t="shared" si="4"/>
        <v>10217</v>
      </c>
    </row>
    <row r="23" spans="1:27" s="210" customFormat="1" ht="14.45" customHeight="1">
      <c r="A23" s="194">
        <v>15</v>
      </c>
      <c r="B23" s="13" t="s">
        <v>85</v>
      </c>
      <c r="C23" s="179"/>
      <c r="D23" s="48">
        <f t="shared" ref="D23:S23" si="7">SUM(D10:D21)</f>
        <v>22180</v>
      </c>
      <c r="E23" s="48">
        <f t="shared" si="7"/>
        <v>0</v>
      </c>
      <c r="F23" s="48">
        <f t="shared" si="7"/>
        <v>0</v>
      </c>
      <c r="G23" s="48">
        <f t="shared" si="7"/>
        <v>0</v>
      </c>
      <c r="H23" s="48">
        <f t="shared" si="7"/>
        <v>146485</v>
      </c>
      <c r="I23" s="48">
        <f t="shared" si="7"/>
        <v>5715</v>
      </c>
      <c r="J23" s="48">
        <f t="shared" si="7"/>
        <v>0</v>
      </c>
      <c r="K23" s="48">
        <f t="shared" si="7"/>
        <v>5715</v>
      </c>
      <c r="L23" s="48">
        <f t="shared" si="7"/>
        <v>19347</v>
      </c>
      <c r="M23" s="48">
        <f t="shared" si="7"/>
        <v>25062</v>
      </c>
      <c r="N23" s="48">
        <f t="shared" si="7"/>
        <v>0</v>
      </c>
      <c r="O23" s="48">
        <f t="shared" si="7"/>
        <v>25062</v>
      </c>
      <c r="P23" s="48">
        <f t="shared" si="7"/>
        <v>34000</v>
      </c>
      <c r="Q23" s="180">
        <f t="shared" si="7"/>
        <v>32650</v>
      </c>
      <c r="R23" s="180">
        <f t="shared" si="7"/>
        <v>47400</v>
      </c>
      <c r="S23" s="180">
        <f t="shared" si="7"/>
        <v>26400</v>
      </c>
      <c r="T23" s="180">
        <f t="shared" ref="T23:AA23" si="8">SUM(T10:T22)</f>
        <v>31250</v>
      </c>
      <c r="U23" s="180">
        <f t="shared" si="8"/>
        <v>535214</v>
      </c>
      <c r="V23" s="180">
        <f t="shared" si="8"/>
        <v>264574</v>
      </c>
      <c r="W23" s="180">
        <f t="shared" si="8"/>
        <v>799788</v>
      </c>
      <c r="X23" s="122">
        <f t="shared" si="8"/>
        <v>27230</v>
      </c>
      <c r="Y23" s="122">
        <f t="shared" si="8"/>
        <v>827018</v>
      </c>
      <c r="Z23" s="122">
        <f t="shared" si="8"/>
        <v>143368</v>
      </c>
      <c r="AA23" s="122">
        <f t="shared" si="8"/>
        <v>970386</v>
      </c>
    </row>
    <row r="24" spans="1:27" ht="0.75" customHeight="1">
      <c r="A24" s="194">
        <v>16</v>
      </c>
      <c r="B24" s="13" t="s">
        <v>86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6"/>
    </row>
    <row r="25" spans="1:27" customFormat="1" ht="32.25" customHeight="1">
      <c r="A25" s="920" t="s">
        <v>669</v>
      </c>
      <c r="B25" s="920"/>
      <c r="C25" s="920"/>
      <c r="D25" s="920"/>
      <c r="E25" s="920"/>
      <c r="F25" s="920"/>
      <c r="G25" s="920"/>
      <c r="H25" s="920"/>
      <c r="I25" s="920"/>
      <c r="J25" s="920"/>
      <c r="K25" s="920"/>
      <c r="L25" s="920"/>
      <c r="M25" s="920"/>
      <c r="N25" s="920"/>
      <c r="O25" s="920"/>
      <c r="P25" s="920"/>
      <c r="Q25" s="920"/>
      <c r="R25" s="920"/>
      <c r="S25" s="920"/>
      <c r="T25" s="920"/>
      <c r="U25" s="920"/>
      <c r="V25" s="920"/>
      <c r="W25" s="920"/>
      <c r="X25" s="920"/>
      <c r="Y25" s="920"/>
      <c r="Z25" s="920"/>
      <c r="AA25" s="920"/>
    </row>
    <row r="26" spans="1:27">
      <c r="P26" s="163" t="s">
        <v>420</v>
      </c>
      <c r="Q26" s="166">
        <f>Q23-'[1]Kiadások 2m'!O152</f>
        <v>-273294</v>
      </c>
      <c r="R26" s="166">
        <f>R23-'[1]Kiadások 2m'!P152</f>
        <v>-1118369</v>
      </c>
      <c r="S26" s="166">
        <f>S23-'[1]Kiadások 2m'!Q152</f>
        <v>-124754</v>
      </c>
      <c r="T26" s="166">
        <f>T23-'[1]Kiadások 2m'!R152</f>
        <v>0</v>
      </c>
      <c r="U26" s="166">
        <f>U23-'[1]Kiadások 2m'!S152</f>
        <v>0</v>
      </c>
      <c r="V26" s="166">
        <f>V23-'[1]Kiadások 2m'!T152</f>
        <v>0</v>
      </c>
      <c r="W26" s="166">
        <f>W23-'[1]Kiadások 2m'!U152</f>
        <v>0</v>
      </c>
      <c r="X26" s="625">
        <f>X23-'[1]Kiadások 2m'!V152</f>
        <v>27230</v>
      </c>
      <c r="Y26" s="625">
        <f>Y23-'[1]Kiadások 2m'!W152</f>
        <v>827018</v>
      </c>
      <c r="Z26" s="625">
        <f>Z23-'[1]Kiadások 2m'!X152</f>
        <v>143368</v>
      </c>
      <c r="AA26" s="625">
        <f>AA23-'[1]Kiadások 2m'!Y152</f>
        <v>970386</v>
      </c>
    </row>
    <row r="28" spans="1:27">
      <c r="L28" s="166"/>
      <c r="N28" s="166"/>
    </row>
  </sheetData>
  <mergeCells count="30">
    <mergeCell ref="Z7:Z9"/>
    <mergeCell ref="AA7:AA9"/>
    <mergeCell ref="A25:AA25"/>
    <mergeCell ref="T7:T9"/>
    <mergeCell ref="U7:U9"/>
    <mergeCell ref="V7:V9"/>
    <mergeCell ref="W7:W9"/>
    <mergeCell ref="X7:X9"/>
    <mergeCell ref="Y7:Y9"/>
    <mergeCell ref="N7:N9"/>
    <mergeCell ref="O7:O9"/>
    <mergeCell ref="P7:P9"/>
    <mergeCell ref="Q7:Q9"/>
    <mergeCell ref="R7:R9"/>
    <mergeCell ref="S7:S9"/>
    <mergeCell ref="H7:H9"/>
    <mergeCell ref="I7:I9"/>
    <mergeCell ref="J7:J9"/>
    <mergeCell ref="K7:K9"/>
    <mergeCell ref="L7:L9"/>
    <mergeCell ref="M7:M9"/>
    <mergeCell ref="A1:AA1"/>
    <mergeCell ref="A2:AA3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C665-EC0A-48C3-9F85-5EA6A7009D8B}">
  <sheetPr>
    <tabColor rgb="FF92D050"/>
  </sheetPr>
  <dimension ref="A1:T34"/>
  <sheetViews>
    <sheetView view="pageBreakPreview" zoomScaleNormal="100" zoomScaleSheetLayoutView="100" workbookViewId="0">
      <selection activeCell="C2" sqref="C2"/>
    </sheetView>
  </sheetViews>
  <sheetFormatPr defaultColWidth="9.140625" defaultRowHeight="14.25"/>
  <cols>
    <col min="1" max="1" width="7.42578125" style="505" customWidth="1"/>
    <col min="2" max="2" width="9.140625" style="504"/>
    <col min="3" max="3" width="5.42578125" style="504" customWidth="1"/>
    <col min="4" max="4" width="33.42578125" style="504" customWidth="1"/>
    <col min="5" max="6" width="9.140625" style="504"/>
    <col min="7" max="7" width="12.42578125" style="504" customWidth="1"/>
    <col min="8" max="9" width="11.140625" style="504" customWidth="1"/>
    <col min="10" max="10" width="11.5703125" style="504" customWidth="1"/>
    <col min="11" max="12" width="10.42578125" style="504" customWidth="1"/>
    <col min="13" max="13" width="12.42578125" style="504" customWidth="1"/>
    <col min="14" max="16384" width="9.140625" style="504"/>
  </cols>
  <sheetData>
    <row r="1" spans="1:20">
      <c r="A1" s="777" t="s">
        <v>572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</row>
    <row r="3" spans="1:20"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</row>
    <row r="4" spans="1:20" ht="15">
      <c r="C4" s="506"/>
      <c r="D4" s="507" t="s">
        <v>538</v>
      </c>
      <c r="E4" s="507"/>
      <c r="F4" s="507"/>
      <c r="G4" s="507"/>
      <c r="H4" s="507"/>
      <c r="I4" s="507"/>
      <c r="J4" s="507"/>
      <c r="K4" s="507"/>
      <c r="L4" s="507"/>
      <c r="M4" s="507"/>
      <c r="N4" s="507"/>
      <c r="T4" s="621"/>
    </row>
    <row r="5" spans="1:20"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</row>
    <row r="7" spans="1:20" ht="15" thickBot="1"/>
    <row r="8" spans="1:20" ht="15">
      <c r="A8" s="594"/>
      <c r="B8" s="595" t="s">
        <v>414</v>
      </c>
      <c r="C8" s="771" t="s">
        <v>269</v>
      </c>
      <c r="D8" s="771"/>
      <c r="E8" s="771" t="s">
        <v>270</v>
      </c>
      <c r="F8" s="771" t="s">
        <v>271</v>
      </c>
      <c r="G8" s="773" t="s">
        <v>517</v>
      </c>
      <c r="H8" s="771" t="s">
        <v>272</v>
      </c>
      <c r="I8" s="771" t="s">
        <v>518</v>
      </c>
      <c r="J8" s="771" t="s">
        <v>273</v>
      </c>
      <c r="K8" s="779" t="s">
        <v>274</v>
      </c>
      <c r="L8" s="780"/>
      <c r="M8" s="781" t="s">
        <v>492</v>
      </c>
      <c r="N8" s="783" t="s">
        <v>275</v>
      </c>
    </row>
    <row r="9" spans="1:20" ht="15" customHeight="1">
      <c r="A9" s="785"/>
      <c r="B9" s="786" t="s">
        <v>57</v>
      </c>
      <c r="C9" s="772"/>
      <c r="D9" s="772"/>
      <c r="E9" s="772"/>
      <c r="F9" s="772"/>
      <c r="G9" s="774"/>
      <c r="H9" s="772"/>
      <c r="I9" s="772"/>
      <c r="J9" s="772"/>
      <c r="K9" s="772" t="s">
        <v>276</v>
      </c>
      <c r="L9" s="772" t="s">
        <v>277</v>
      </c>
      <c r="M9" s="782"/>
      <c r="N9" s="784"/>
    </row>
    <row r="10" spans="1:20" ht="22.5" customHeight="1">
      <c r="A10" s="785"/>
      <c r="B10" s="787"/>
      <c r="C10" s="772"/>
      <c r="D10" s="772"/>
      <c r="E10" s="772"/>
      <c r="F10" s="772"/>
      <c r="G10" s="775"/>
      <c r="H10" s="772"/>
      <c r="I10" s="772"/>
      <c r="J10" s="772"/>
      <c r="K10" s="772"/>
      <c r="L10" s="772"/>
      <c r="M10" s="782"/>
      <c r="N10" s="784"/>
    </row>
    <row r="11" spans="1:20">
      <c r="A11" s="785"/>
      <c r="B11" s="787"/>
      <c r="C11" s="772"/>
      <c r="D11" s="772"/>
      <c r="E11" s="508" t="s">
        <v>278</v>
      </c>
      <c r="F11" s="508" t="s">
        <v>278</v>
      </c>
      <c r="G11" s="508"/>
      <c r="H11" s="508" t="s">
        <v>278</v>
      </c>
      <c r="I11" s="508"/>
      <c r="J11" s="508" t="s">
        <v>278</v>
      </c>
      <c r="K11" s="508" t="s">
        <v>278</v>
      </c>
      <c r="L11" s="508" t="s">
        <v>278</v>
      </c>
      <c r="M11" s="596" t="s">
        <v>278</v>
      </c>
      <c r="N11" s="597" t="s">
        <v>278</v>
      </c>
    </row>
    <row r="12" spans="1:20">
      <c r="A12" s="598" t="s">
        <v>72</v>
      </c>
      <c r="B12" s="509" t="s">
        <v>72</v>
      </c>
      <c r="C12" s="510" t="s">
        <v>324</v>
      </c>
      <c r="D12" s="510"/>
      <c r="E12" s="512"/>
      <c r="F12" s="512"/>
      <c r="G12" s="512"/>
      <c r="H12" s="512"/>
      <c r="I12" s="512"/>
      <c r="J12" s="599">
        <v>96</v>
      </c>
      <c r="K12" s="599"/>
      <c r="L12" s="599"/>
      <c r="M12" s="600"/>
      <c r="N12" s="601">
        <f>SUM(E12:M12)</f>
        <v>96</v>
      </c>
    </row>
    <row r="13" spans="1:20">
      <c r="A13" s="598" t="s">
        <v>561</v>
      </c>
      <c r="B13" s="509" t="s">
        <v>73</v>
      </c>
      <c r="C13" s="510" t="s">
        <v>522</v>
      </c>
      <c r="D13" s="510"/>
      <c r="E13" s="599">
        <f>SUM(E14:E18)</f>
        <v>79</v>
      </c>
      <c r="F13" s="599"/>
      <c r="G13" s="599"/>
      <c r="H13" s="599"/>
      <c r="I13" s="599"/>
      <c r="J13" s="599"/>
      <c r="K13" s="599"/>
      <c r="L13" s="599"/>
      <c r="M13" s="599">
        <f t="shared" ref="M13" si="0">SUM(M14:M18)</f>
        <v>6</v>
      </c>
      <c r="N13" s="601">
        <f>SUM(E13:M13)</f>
        <v>85</v>
      </c>
    </row>
    <row r="14" spans="1:20">
      <c r="A14" s="598"/>
      <c r="B14" s="602" t="s">
        <v>562</v>
      </c>
      <c r="C14" s="510"/>
      <c r="D14" s="510" t="s">
        <v>563</v>
      </c>
      <c r="E14" s="603">
        <v>67</v>
      </c>
      <c r="F14" s="603"/>
      <c r="G14" s="603"/>
      <c r="H14" s="603"/>
      <c r="I14" s="603"/>
      <c r="J14" s="603"/>
      <c r="K14" s="603"/>
      <c r="L14" s="603"/>
      <c r="M14" s="604">
        <v>6</v>
      </c>
      <c r="N14" s="605">
        <f t="shared" ref="N14:N18" si="1">SUM(E14:M14)</f>
        <v>73</v>
      </c>
    </row>
    <row r="15" spans="1:20">
      <c r="A15" s="598"/>
      <c r="B15" s="602" t="s">
        <v>564</v>
      </c>
      <c r="C15" s="510"/>
      <c r="D15" s="510" t="s">
        <v>565</v>
      </c>
      <c r="E15" s="603">
        <v>2</v>
      </c>
      <c r="F15" s="603"/>
      <c r="G15" s="603"/>
      <c r="H15" s="603"/>
      <c r="I15" s="603"/>
      <c r="J15" s="603"/>
      <c r="K15" s="603"/>
      <c r="L15" s="603"/>
      <c r="M15" s="604"/>
      <c r="N15" s="605">
        <f t="shared" si="1"/>
        <v>2</v>
      </c>
    </row>
    <row r="16" spans="1:20">
      <c r="A16" s="598"/>
      <c r="B16" s="602" t="s">
        <v>566</v>
      </c>
      <c r="C16" s="510"/>
      <c r="D16" s="510" t="s">
        <v>567</v>
      </c>
      <c r="E16" s="603">
        <v>2.5</v>
      </c>
      <c r="F16" s="603"/>
      <c r="G16" s="603"/>
      <c r="H16" s="603"/>
      <c r="I16" s="603"/>
      <c r="J16" s="603"/>
      <c r="K16" s="603"/>
      <c r="L16" s="603"/>
      <c r="M16" s="604"/>
      <c r="N16" s="605">
        <f t="shared" si="1"/>
        <v>2.5</v>
      </c>
    </row>
    <row r="17" spans="1:14">
      <c r="A17" s="598"/>
      <c r="B17" s="602" t="s">
        <v>568</v>
      </c>
      <c r="C17" s="510"/>
      <c r="D17" s="510" t="s">
        <v>569</v>
      </c>
      <c r="E17" s="603">
        <v>6</v>
      </c>
      <c r="F17" s="603"/>
      <c r="G17" s="603"/>
      <c r="H17" s="603"/>
      <c r="I17" s="603"/>
      <c r="J17" s="603"/>
      <c r="K17" s="603"/>
      <c r="L17" s="603"/>
      <c r="M17" s="604"/>
      <c r="N17" s="605">
        <f t="shared" si="1"/>
        <v>6</v>
      </c>
    </row>
    <row r="18" spans="1:14">
      <c r="A18" s="598"/>
      <c r="B18" s="602" t="s">
        <v>570</v>
      </c>
      <c r="C18" s="510"/>
      <c r="D18" s="510" t="s">
        <v>571</v>
      </c>
      <c r="E18" s="603">
        <v>1.5</v>
      </c>
      <c r="F18" s="603"/>
      <c r="G18" s="603"/>
      <c r="H18" s="603"/>
      <c r="I18" s="603"/>
      <c r="J18" s="603"/>
      <c r="K18" s="603"/>
      <c r="L18" s="603"/>
      <c r="M18" s="604"/>
      <c r="N18" s="605">
        <f t="shared" si="1"/>
        <v>1.5</v>
      </c>
    </row>
    <row r="19" spans="1:14">
      <c r="A19" s="598" t="s">
        <v>74</v>
      </c>
      <c r="B19" s="509" t="s">
        <v>74</v>
      </c>
      <c r="C19" s="776" t="s">
        <v>279</v>
      </c>
      <c r="D19" s="776"/>
      <c r="E19" s="599">
        <v>2</v>
      </c>
      <c r="F19" s="599"/>
      <c r="G19" s="599"/>
      <c r="H19" s="599"/>
      <c r="I19" s="599"/>
      <c r="J19" s="599"/>
      <c r="K19" s="599"/>
      <c r="L19" s="599"/>
      <c r="M19" s="600"/>
      <c r="N19" s="601">
        <f>SUM(E19:M19)</f>
        <v>2</v>
      </c>
    </row>
    <row r="20" spans="1:14">
      <c r="A20" s="598" t="s">
        <v>75</v>
      </c>
      <c r="B20" s="509" t="s">
        <v>75</v>
      </c>
      <c r="C20" s="510" t="s">
        <v>280</v>
      </c>
      <c r="D20" s="510"/>
      <c r="E20" s="603"/>
      <c r="F20" s="599">
        <v>11</v>
      </c>
      <c r="G20" s="599"/>
      <c r="H20" s="599"/>
      <c r="I20" s="599"/>
      <c r="J20" s="599"/>
      <c r="K20" s="599"/>
      <c r="L20" s="599"/>
      <c r="M20" s="600"/>
      <c r="N20" s="601">
        <f>SUM(E20:M20)</f>
        <v>11</v>
      </c>
    </row>
    <row r="21" spans="1:14">
      <c r="A21" s="598" t="s">
        <v>76</v>
      </c>
      <c r="B21" s="509" t="s">
        <v>76</v>
      </c>
      <c r="C21" s="510" t="s">
        <v>281</v>
      </c>
      <c r="D21" s="510"/>
      <c r="E21" s="603"/>
      <c r="F21" s="599"/>
      <c r="G21" s="599"/>
      <c r="H21" s="599">
        <v>2</v>
      </c>
      <c r="I21" s="599"/>
      <c r="J21" s="599"/>
      <c r="K21" s="599"/>
      <c r="L21" s="599"/>
      <c r="M21" s="600"/>
      <c r="N21" s="601">
        <f>SUM(E21:M21)</f>
        <v>2</v>
      </c>
    </row>
    <row r="22" spans="1:14">
      <c r="A22" s="598" t="s">
        <v>77</v>
      </c>
      <c r="B22" s="509" t="s">
        <v>77</v>
      </c>
      <c r="C22" s="511" t="s">
        <v>68</v>
      </c>
      <c r="D22" s="511"/>
      <c r="E22" s="603"/>
      <c r="F22" s="599"/>
      <c r="G22" s="599"/>
      <c r="H22" s="599"/>
      <c r="I22" s="599">
        <v>72.900000000000006</v>
      </c>
      <c r="J22" s="599">
        <v>1</v>
      </c>
      <c r="K22" s="599">
        <v>43.9</v>
      </c>
      <c r="L22" s="599">
        <v>29</v>
      </c>
      <c r="M22" s="600">
        <v>3.5</v>
      </c>
      <c r="N22" s="601">
        <f>SUM(J22:M22)</f>
        <v>77.400000000000006</v>
      </c>
    </row>
    <row r="23" spans="1:14">
      <c r="A23" s="598" t="s">
        <v>78</v>
      </c>
      <c r="B23" s="509" t="s">
        <v>78</v>
      </c>
      <c r="C23" s="510" t="s">
        <v>69</v>
      </c>
      <c r="D23" s="510"/>
      <c r="E23" s="603"/>
      <c r="F23" s="599"/>
      <c r="G23" s="599"/>
      <c r="H23" s="599"/>
      <c r="I23" s="599"/>
      <c r="J23" s="599">
        <v>3</v>
      </c>
      <c r="K23" s="599">
        <v>0.9</v>
      </c>
      <c r="L23" s="599"/>
      <c r="M23" s="600">
        <v>17</v>
      </c>
      <c r="N23" s="601">
        <f>SUM(E23:J23)+M23</f>
        <v>20</v>
      </c>
    </row>
    <row r="24" spans="1:14" ht="15" thickBot="1">
      <c r="A24" s="606" t="s">
        <v>79</v>
      </c>
      <c r="B24" s="607" t="s">
        <v>79</v>
      </c>
      <c r="C24" s="769" t="s">
        <v>97</v>
      </c>
      <c r="D24" s="769"/>
      <c r="E24" s="608"/>
      <c r="F24" s="609"/>
      <c r="G24" s="609">
        <v>4</v>
      </c>
      <c r="H24" s="609">
        <v>103</v>
      </c>
      <c r="I24" s="609"/>
      <c r="J24" s="609"/>
      <c r="K24" s="609"/>
      <c r="L24" s="609"/>
      <c r="M24" s="610"/>
      <c r="N24" s="611">
        <f>SUM(E24:M24)</f>
        <v>107</v>
      </c>
    </row>
    <row r="25" spans="1:14" ht="15" thickBot="1">
      <c r="A25" s="612"/>
      <c r="B25" s="613"/>
      <c r="C25" s="614" t="s">
        <v>66</v>
      </c>
      <c r="D25" s="614"/>
      <c r="E25" s="615">
        <f>SUM(E12:E13,E19:E24)</f>
        <v>81</v>
      </c>
      <c r="F25" s="615">
        <f t="shared" ref="F25:N25" si="2">SUM(F12:F13,F19:F24)</f>
        <v>11</v>
      </c>
      <c r="G25" s="615">
        <f t="shared" si="2"/>
        <v>4</v>
      </c>
      <c r="H25" s="615">
        <f t="shared" si="2"/>
        <v>105</v>
      </c>
      <c r="I25" s="615">
        <f t="shared" si="2"/>
        <v>72.900000000000006</v>
      </c>
      <c r="J25" s="615">
        <f t="shared" si="2"/>
        <v>100</v>
      </c>
      <c r="K25" s="615">
        <f t="shared" si="2"/>
        <v>44.8</v>
      </c>
      <c r="L25" s="615">
        <f t="shared" si="2"/>
        <v>29</v>
      </c>
      <c r="M25" s="616">
        <f t="shared" si="2"/>
        <v>26.5</v>
      </c>
      <c r="N25" s="617">
        <f t="shared" si="2"/>
        <v>400.4</v>
      </c>
    </row>
    <row r="26" spans="1:14"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</row>
    <row r="27" spans="1:14">
      <c r="C27" s="514"/>
      <c r="N27" s="515"/>
    </row>
    <row r="28" spans="1:14">
      <c r="C28" s="770"/>
      <c r="D28" s="770"/>
      <c r="E28" s="770"/>
      <c r="F28" s="770"/>
      <c r="G28" s="770"/>
      <c r="H28" s="770"/>
      <c r="I28" s="770"/>
      <c r="J28" s="770"/>
      <c r="K28" s="770"/>
      <c r="L28" s="770"/>
      <c r="M28" s="770"/>
      <c r="N28" s="770"/>
    </row>
    <row r="33" spans="3:14">
      <c r="C33" s="514"/>
    </row>
    <row r="34" spans="3:14"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</row>
  </sheetData>
  <mergeCells count="21">
    <mergeCell ref="A1:M1"/>
    <mergeCell ref="C3:M3"/>
    <mergeCell ref="C5:N5"/>
    <mergeCell ref="J8:J10"/>
    <mergeCell ref="K8:L8"/>
    <mergeCell ref="M8:M10"/>
    <mergeCell ref="I8:I10"/>
    <mergeCell ref="N8:N10"/>
    <mergeCell ref="A9:A11"/>
    <mergeCell ref="B9:B11"/>
    <mergeCell ref="K9:K10"/>
    <mergeCell ref="L9:L10"/>
    <mergeCell ref="C24:D24"/>
    <mergeCell ref="C28:N28"/>
    <mergeCell ref="C34:N34"/>
    <mergeCell ref="C8:D11"/>
    <mergeCell ref="E8:E10"/>
    <mergeCell ref="F8:F10"/>
    <mergeCell ref="H8:H10"/>
    <mergeCell ref="G8:G10"/>
    <mergeCell ref="C19:D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T33"/>
  <sheetViews>
    <sheetView view="pageBreakPreview" zoomScaleNormal="100" zoomScaleSheetLayoutView="100" workbookViewId="0">
      <selection activeCell="A4" sqref="A4"/>
    </sheetView>
  </sheetViews>
  <sheetFormatPr defaultColWidth="9.140625" defaultRowHeight="15"/>
  <cols>
    <col min="1" max="1" width="107.7109375" customWidth="1"/>
  </cols>
  <sheetData>
    <row r="1" spans="1:20">
      <c r="A1" s="162" t="s">
        <v>573</v>
      </c>
    </row>
    <row r="2" spans="1:20">
      <c r="A2" s="162"/>
    </row>
    <row r="3" spans="1:20">
      <c r="A3" s="90" t="s">
        <v>282</v>
      </c>
    </row>
    <row r="4" spans="1:20">
      <c r="A4" s="90"/>
      <c r="T4" s="4"/>
    </row>
    <row r="5" spans="1:20">
      <c r="A5" s="91" t="s">
        <v>283</v>
      </c>
    </row>
    <row r="6" spans="1:20">
      <c r="A6" s="91"/>
    </row>
    <row r="7" spans="1:20" ht="60">
      <c r="A7" s="92" t="s">
        <v>284</v>
      </c>
    </row>
    <row r="8" spans="1:20">
      <c r="A8" s="92"/>
    </row>
    <row r="9" spans="1:20">
      <c r="A9" s="93" t="s">
        <v>547</v>
      </c>
    </row>
    <row r="10" spans="1:20">
      <c r="A10" s="93"/>
    </row>
    <row r="11" spans="1:20">
      <c r="A11" s="91" t="s">
        <v>285</v>
      </c>
    </row>
    <row r="12" spans="1:20">
      <c r="A12" s="91"/>
    </row>
    <row r="13" spans="1:20" ht="45">
      <c r="A13" s="92" t="s">
        <v>473</v>
      </c>
    </row>
    <row r="14" spans="1:20">
      <c r="A14" s="93"/>
    </row>
    <row r="15" spans="1:20">
      <c r="A15" s="93" t="s">
        <v>548</v>
      </c>
    </row>
    <row r="16" spans="1:20">
      <c r="A16" s="93"/>
    </row>
    <row r="17" spans="1:1">
      <c r="A17" s="93" t="s">
        <v>549</v>
      </c>
    </row>
    <row r="18" spans="1:1">
      <c r="A18" s="93"/>
    </row>
    <row r="19" spans="1:1">
      <c r="A19" s="91" t="s">
        <v>286</v>
      </c>
    </row>
    <row r="20" spans="1:1">
      <c r="A20" s="91"/>
    </row>
    <row r="21" spans="1:1" ht="60">
      <c r="A21" s="92" t="s">
        <v>474</v>
      </c>
    </row>
    <row r="22" spans="1:1">
      <c r="A22" s="92"/>
    </row>
    <row r="23" spans="1:1">
      <c r="A23" s="93" t="s">
        <v>550</v>
      </c>
    </row>
    <row r="24" spans="1:1">
      <c r="A24" s="93"/>
    </row>
    <row r="25" spans="1:1">
      <c r="A25" s="93" t="s">
        <v>551</v>
      </c>
    </row>
    <row r="27" spans="1:1">
      <c r="A27" s="91"/>
    </row>
    <row r="28" spans="1:1">
      <c r="A28" s="92"/>
    </row>
    <row r="29" spans="1:1">
      <c r="A29" s="93"/>
    </row>
    <row r="30" spans="1:1">
      <c r="A30" s="92"/>
    </row>
    <row r="31" spans="1:1">
      <c r="A31" s="162"/>
    </row>
    <row r="32" spans="1:1">
      <c r="A32" s="92"/>
    </row>
    <row r="33" spans="1:1">
      <c r="A33" s="92"/>
    </row>
  </sheetData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92" fitToHeight="0" orientation="portrait" r:id="rId1"/>
  <headerFooter>
    <oddFooter>&amp;C&amp;P. oldal</oddFooter>
  </headerFooter>
  <colBreaks count="1" manualBreakCount="1">
    <brk id="1" max="24" man="1"/>
  </colBreaks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Bevételek 1m</vt:lpstr>
      <vt:lpstr>Kiadások2m</vt:lpstr>
      <vt:lpstr>Normatíva 3m.</vt:lpstr>
      <vt:lpstr>Beruházások 4m</vt:lpstr>
      <vt:lpstr>Szociális 5m.</vt:lpstr>
      <vt:lpstr>Támogatások 6m</vt:lpstr>
      <vt:lpstr>Felújítások 7m</vt:lpstr>
      <vt:lpstr>Létszám 8m</vt:lpstr>
      <vt:lpstr>Közvetett 9m </vt:lpstr>
      <vt:lpstr>Tartalék 10m</vt:lpstr>
      <vt:lpstr>Gördülő 11m</vt:lpstr>
      <vt:lpstr>Kötelezettség 12m</vt:lpstr>
      <vt:lpstr>Hitel 13m</vt:lpstr>
      <vt:lpstr>Likvid 14m</vt:lpstr>
      <vt:lpstr>Kötelező 15m</vt:lpstr>
      <vt:lpstr>Unio 16m</vt:lpstr>
      <vt:lpstr>Mérleg 17m</vt:lpstr>
      <vt:lpstr>Címrend</vt:lpstr>
      <vt:lpstr>'Beruházások 4m'!Nyomtatási_terület</vt:lpstr>
      <vt:lpstr>'Bevételek 1m'!Nyomtatási_terület</vt:lpstr>
      <vt:lpstr>'Felújítások 7m'!Nyomtatási_terület</vt:lpstr>
      <vt:lpstr>'Gördülő 11m'!Nyomtatási_terület</vt:lpstr>
      <vt:lpstr>'Hitel 13m'!Nyomtatási_terület</vt:lpstr>
      <vt:lpstr>Kiadások2m!Nyomtatási_terület</vt:lpstr>
      <vt:lpstr>'Kötelező 15m'!Nyomtatási_terület</vt:lpstr>
      <vt:lpstr>'Likvid 14m'!Nyomtatási_terület</vt:lpstr>
      <vt:lpstr>'Mérleg 17m'!Nyomtatási_terület</vt:lpstr>
      <vt:lpstr>'Normatíva 3m.'!Nyomtatási_terület</vt:lpstr>
      <vt:lpstr>'Szociális 5m.'!Nyomtatási_terület</vt:lpstr>
      <vt:lpstr>'Támogatások 6m'!Nyomtatási_terület</vt:lpstr>
      <vt:lpstr>'Tartalék 10m'!Nyomtatási_terület</vt:lpstr>
      <vt:lpstr>'Unio 16m'!Nyomtatási_terület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2025-12-16T14:55:02Z</dcterms:modified>
</cp:coreProperties>
</file>