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49E0FAFA-921A-4CF0-A8D9-CA3E6976874B}" xr6:coauthVersionLast="47" xr6:coauthVersionMax="47" xr10:uidLastSave="{00000000-0000-0000-0000-000000000000}"/>
  <bookViews>
    <workbookView xWindow="-120" yWindow="-120" windowWidth="29040" windowHeight="15720" tabRatio="992" activeTab="8" xr2:uid="{00000000-000D-0000-FFFF-FFFF00000000}"/>
  </bookViews>
  <sheets>
    <sheet name="Bevételek 1m" sheetId="7" r:id="rId1"/>
    <sheet name="Kiadások 2m" sheetId="3" r:id="rId2"/>
    <sheet name="Normatíva 3m" sheetId="19" r:id="rId3"/>
    <sheet name="Beruházások 4m" sheetId="22" r:id="rId4"/>
    <sheet name="Támogatás 5m" sheetId="11" r:id="rId5"/>
    <sheet name="Felújítás 6m" sheetId="23" r:id="rId6"/>
    <sheet name=" Tartalék 7m" sheetId="14" r:id="rId7"/>
    <sheet name=" Gördülő 8m" sheetId="15" r:id="rId8"/>
    <sheet name="Mérleg 9m " sheetId="30" r:id="rId9"/>
  </sheets>
  <externalReferences>
    <externalReference r:id="rId10"/>
    <externalReference r:id="rId11"/>
  </externalReferences>
  <definedNames>
    <definedName name="_xlnm._FilterDatabase" localSheetId="1" hidden="1">'Kiadások 2m'!$A$3:$O$163</definedName>
    <definedName name="_xlnm.Print_Area" localSheetId="7">' Gördülő 8m'!$A$1:$G$27</definedName>
    <definedName name="_xlnm.Print_Area" localSheetId="6">' Tartalék 7m'!$A$1:$T$24</definedName>
    <definedName name="_xlnm.Print_Area" localSheetId="3">'Beruházások 4m'!$A$1:$U$35</definedName>
    <definedName name="_xlnm.Print_Area" localSheetId="0">'Bevételek 1m'!$A$1:$V$190</definedName>
    <definedName name="_xlnm.Print_Area" localSheetId="5">'Felújítás 6m'!$A$1:$W$20</definedName>
    <definedName name="_xlnm.Print_Area" localSheetId="1">'Kiadások 2m'!$A$1:$U$164</definedName>
    <definedName name="_xlnm.Print_Area" localSheetId="8">'Mérleg 9m '!$A$1:$AG$33</definedName>
    <definedName name="_xlnm.Print_Area" localSheetId="2">'Normatíva 3m'!$A$1:$V$59</definedName>
    <definedName name="_xlnm.Print_Area" localSheetId="4">'Támogatás 5m'!$A$1:$T$69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3" i="11" l="1"/>
  <c r="S73" i="11"/>
  <c r="T146" i="3"/>
  <c r="U70" i="7"/>
  <c r="U72" i="7"/>
  <c r="U71" i="7"/>
  <c r="AF33" i="30"/>
  <c r="AF36" i="30" s="1"/>
  <c r="F22" i="15"/>
  <c r="T56" i="11"/>
  <c r="T57" i="11"/>
  <c r="S60" i="11"/>
  <c r="S74" i="11" s="1"/>
  <c r="V190" i="7"/>
  <c r="U190" i="7"/>
  <c r="U143" i="7"/>
  <c r="V113" i="7"/>
  <c r="U113" i="7"/>
  <c r="V101" i="7"/>
  <c r="U101" i="7"/>
  <c r="U100" i="7" s="1"/>
  <c r="V100" i="7" s="1"/>
  <c r="V72" i="7"/>
  <c r="U53" i="7"/>
  <c r="U40" i="7" s="1"/>
  <c r="V21" i="7"/>
  <c r="U21" i="7"/>
  <c r="U42" i="7"/>
  <c r="V8" i="7"/>
  <c r="V51" i="7"/>
  <c r="V50" i="7"/>
  <c r="AG19" i="30"/>
  <c r="AG30" i="30"/>
  <c r="AF31" i="30"/>
  <c r="AG27" i="30"/>
  <c r="AG23" i="30"/>
  <c r="AG22" i="30"/>
  <c r="AG28" i="30" s="1"/>
  <c r="AG21" i="30"/>
  <c r="AG15" i="30"/>
  <c r="AG14" i="30"/>
  <c r="AG13" i="30"/>
  <c r="AG12" i="30"/>
  <c r="AG11" i="30"/>
  <c r="AG10" i="30"/>
  <c r="AF27" i="30"/>
  <c r="AF23" i="30"/>
  <c r="AF22" i="30"/>
  <c r="AF21" i="30"/>
  <c r="AF15" i="30"/>
  <c r="AF14" i="30"/>
  <c r="AF13" i="30"/>
  <c r="AF12" i="30"/>
  <c r="AF11" i="30"/>
  <c r="AF10" i="30"/>
  <c r="Q30" i="30"/>
  <c r="Q23" i="30"/>
  <c r="Q22" i="30"/>
  <c r="Q15" i="30"/>
  <c r="Q13" i="30"/>
  <c r="Q12" i="30"/>
  <c r="Q11" i="30"/>
  <c r="Q10" i="30"/>
  <c r="P30" i="30"/>
  <c r="P23" i="30"/>
  <c r="P22" i="30"/>
  <c r="P15" i="30"/>
  <c r="P13" i="30"/>
  <c r="P12" i="30"/>
  <c r="P11" i="30"/>
  <c r="P10" i="30"/>
  <c r="U184" i="7"/>
  <c r="V184" i="7"/>
  <c r="T184" i="7"/>
  <c r="U178" i="7"/>
  <c r="V178" i="7"/>
  <c r="T178" i="7"/>
  <c r="V160" i="7"/>
  <c r="V161" i="7"/>
  <c r="V162" i="7"/>
  <c r="D25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7" i="15"/>
  <c r="D6" i="15"/>
  <c r="S23" i="14"/>
  <c r="T10" i="14"/>
  <c r="S10" i="14"/>
  <c r="S24" i="14" s="1"/>
  <c r="V20" i="23"/>
  <c r="V23" i="23" s="1"/>
  <c r="W19" i="23"/>
  <c r="U20" i="23"/>
  <c r="T20" i="23"/>
  <c r="W11" i="23"/>
  <c r="W12" i="23"/>
  <c r="W13" i="23"/>
  <c r="W14" i="23"/>
  <c r="W15" i="23"/>
  <c r="W16" i="23"/>
  <c r="W17" i="23"/>
  <c r="W18" i="23"/>
  <c r="W10" i="23"/>
  <c r="A51" i="11"/>
  <c r="R40" i="11"/>
  <c r="S40" i="11"/>
  <c r="T33" i="11"/>
  <c r="T34" i="11"/>
  <c r="T35" i="11"/>
  <c r="Q40" i="11"/>
  <c r="T29" i="11"/>
  <c r="T30" i="11"/>
  <c r="T31" i="11"/>
  <c r="T32" i="11"/>
  <c r="T36" i="11"/>
  <c r="T37" i="11"/>
  <c r="T38" i="11"/>
  <c r="T39" i="11"/>
  <c r="T59" i="11"/>
  <c r="T58" i="11"/>
  <c r="T55" i="11"/>
  <c r="T50" i="11"/>
  <c r="T49" i="11"/>
  <c r="T48" i="11"/>
  <c r="T47" i="11"/>
  <c r="T46" i="11"/>
  <c r="T45" i="11"/>
  <c r="T44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12" i="11"/>
  <c r="T68" i="11"/>
  <c r="S68" i="11"/>
  <c r="T67" i="11"/>
  <c r="S67" i="11"/>
  <c r="T66" i="11"/>
  <c r="S66" i="11"/>
  <c r="T65" i="11"/>
  <c r="S65" i="11"/>
  <c r="T62" i="11"/>
  <c r="S62" i="11"/>
  <c r="T52" i="11"/>
  <c r="S52" i="11"/>
  <c r="S51" i="11"/>
  <c r="T41" i="11"/>
  <c r="S41" i="11"/>
  <c r="U24" i="22"/>
  <c r="U18" i="22"/>
  <c r="U15" i="22"/>
  <c r="U16" i="22"/>
  <c r="U17" i="22"/>
  <c r="U19" i="22"/>
  <c r="U20" i="22"/>
  <c r="U21" i="22"/>
  <c r="U22" i="22"/>
  <c r="U23" i="22"/>
  <c r="U25" i="22"/>
  <c r="U26" i="22"/>
  <c r="U27" i="22"/>
  <c r="U28" i="22"/>
  <c r="U29" i="22"/>
  <c r="U30" i="22"/>
  <c r="U31" i="22"/>
  <c r="U32" i="22"/>
  <c r="U33" i="22"/>
  <c r="U34" i="22"/>
  <c r="U14" i="22"/>
  <c r="T35" i="22"/>
  <c r="Y29" i="19"/>
  <c r="Y30" i="19"/>
  <c r="Y28" i="19"/>
  <c r="U160" i="7"/>
  <c r="U161" i="7"/>
  <c r="U162" i="7"/>
  <c r="T162" i="7"/>
  <c r="U160" i="3"/>
  <c r="U159" i="3"/>
  <c r="U158" i="3"/>
  <c r="U156" i="3"/>
  <c r="U155" i="3"/>
  <c r="U154" i="3"/>
  <c r="U143" i="3"/>
  <c r="U134" i="3"/>
  <c r="U133" i="3"/>
  <c r="U131" i="3" s="1"/>
  <c r="U132" i="3"/>
  <c r="U130" i="3"/>
  <c r="U129" i="3"/>
  <c r="U128" i="3"/>
  <c r="U126" i="3"/>
  <c r="U125" i="3"/>
  <c r="U123" i="3"/>
  <c r="U122" i="3"/>
  <c r="U121" i="3"/>
  <c r="U120" i="3"/>
  <c r="U119" i="3"/>
  <c r="U118" i="3" s="1"/>
  <c r="U117" i="3"/>
  <c r="U116" i="3"/>
  <c r="U115" i="3"/>
  <c r="U114" i="3"/>
  <c r="U108" i="3"/>
  <c r="U107" i="3"/>
  <c r="U106" i="3"/>
  <c r="U104" i="3"/>
  <c r="U103" i="3"/>
  <c r="U102" i="3"/>
  <c r="U100" i="3"/>
  <c r="U99" i="3"/>
  <c r="U97" i="3"/>
  <c r="U96" i="3"/>
  <c r="U95" i="3"/>
  <c r="U94" i="3"/>
  <c r="U93" i="3"/>
  <c r="U91" i="3"/>
  <c r="U90" i="3"/>
  <c r="U89" i="3"/>
  <c r="U88" i="3"/>
  <c r="U82" i="3"/>
  <c r="U79" i="3" s="1"/>
  <c r="U81" i="3"/>
  <c r="U80" i="3"/>
  <c r="U78" i="3"/>
  <c r="U77" i="3"/>
  <c r="U76" i="3"/>
  <c r="U74" i="3"/>
  <c r="U73" i="3"/>
  <c r="U71" i="3"/>
  <c r="U70" i="3"/>
  <c r="U69" i="3"/>
  <c r="U68" i="3"/>
  <c r="U67" i="3"/>
  <c r="U65" i="3"/>
  <c r="U64" i="3"/>
  <c r="U63" i="3"/>
  <c r="U62" i="3"/>
  <c r="U56" i="3"/>
  <c r="U55" i="3"/>
  <c r="U54" i="3"/>
  <c r="U52" i="3"/>
  <c r="U51" i="3"/>
  <c r="U50" i="3"/>
  <c r="U48" i="3"/>
  <c r="U47" i="3"/>
  <c r="U45" i="3"/>
  <c r="U44" i="3"/>
  <c r="U43" i="3"/>
  <c r="U42" i="3"/>
  <c r="U41" i="3"/>
  <c r="U40" i="3" s="1"/>
  <c r="U39" i="3"/>
  <c r="U38" i="3"/>
  <c r="U37" i="3"/>
  <c r="U36" i="3"/>
  <c r="U30" i="3"/>
  <c r="U29" i="3"/>
  <c r="U28" i="3"/>
  <c r="U27" i="3"/>
  <c r="U25" i="3"/>
  <c r="U24" i="3"/>
  <c r="U23" i="3"/>
  <c r="U21" i="3"/>
  <c r="U20" i="3"/>
  <c r="U18" i="3"/>
  <c r="U17" i="3"/>
  <c r="T23" i="14" s="1"/>
  <c r="U16" i="3"/>
  <c r="U15" i="3"/>
  <c r="U14" i="3"/>
  <c r="U10" i="3"/>
  <c r="U11" i="3"/>
  <c r="U12" i="3"/>
  <c r="U9" i="3"/>
  <c r="T161" i="3"/>
  <c r="T162" i="3" s="1"/>
  <c r="U162" i="3" s="1"/>
  <c r="T160" i="3"/>
  <c r="T159" i="3"/>
  <c r="T158" i="3"/>
  <c r="T156" i="3"/>
  <c r="T154" i="3"/>
  <c r="T152" i="3"/>
  <c r="U152" i="3" s="1"/>
  <c r="T151" i="3"/>
  <c r="U151" i="3" s="1"/>
  <c r="Q21" i="30" s="1"/>
  <c r="T149" i="3"/>
  <c r="U149" i="3" s="1"/>
  <c r="T148" i="3"/>
  <c r="U148" i="3" s="1"/>
  <c r="T147" i="3"/>
  <c r="U147" i="3" s="1"/>
  <c r="U146" i="3"/>
  <c r="T145" i="3"/>
  <c r="U145" i="3" s="1"/>
  <c r="T143" i="3"/>
  <c r="T142" i="3"/>
  <c r="U142" i="3" s="1"/>
  <c r="T141" i="3"/>
  <c r="U141" i="3" s="1"/>
  <c r="T140" i="3"/>
  <c r="U140" i="3" s="1"/>
  <c r="T131" i="3"/>
  <c r="U127" i="3"/>
  <c r="T127" i="3"/>
  <c r="T124" i="3" s="1"/>
  <c r="T118" i="3"/>
  <c r="T113" i="3" s="1"/>
  <c r="U105" i="3"/>
  <c r="T105" i="3"/>
  <c r="U101" i="3"/>
  <c r="T101" i="3"/>
  <c r="U98" i="3"/>
  <c r="T98" i="3"/>
  <c r="U92" i="3"/>
  <c r="T92" i="3"/>
  <c r="T87" i="3"/>
  <c r="T79" i="3"/>
  <c r="U75" i="3"/>
  <c r="T75" i="3"/>
  <c r="T72" i="3" s="1"/>
  <c r="U66" i="3"/>
  <c r="T66" i="3"/>
  <c r="T61" i="3" s="1"/>
  <c r="U53" i="3"/>
  <c r="T53" i="3"/>
  <c r="T155" i="3" s="1"/>
  <c r="U49" i="3"/>
  <c r="T49" i="3"/>
  <c r="U46" i="3"/>
  <c r="T46" i="3"/>
  <c r="T40" i="3"/>
  <c r="T35" i="3"/>
  <c r="T26" i="3"/>
  <c r="U22" i="3"/>
  <c r="T22" i="3"/>
  <c r="T19" i="3" s="1"/>
  <c r="T13" i="3"/>
  <c r="T8" i="3" s="1"/>
  <c r="U173" i="7"/>
  <c r="T173" i="7"/>
  <c r="T40" i="11" l="1"/>
  <c r="T60" i="11"/>
  <c r="T74" i="11" s="1"/>
  <c r="D22" i="15"/>
  <c r="AG31" i="30"/>
  <c r="AG32" i="30" s="1"/>
  <c r="AF28" i="30"/>
  <c r="AF32" i="30" s="1"/>
  <c r="AG18" i="30"/>
  <c r="AG20" i="30" s="1"/>
  <c r="P21" i="30"/>
  <c r="P28" i="30" s="1"/>
  <c r="P32" i="30" s="1"/>
  <c r="T38" i="22"/>
  <c r="S27" i="14"/>
  <c r="T24" i="14"/>
  <c r="T27" i="14" s="1"/>
  <c r="Q28" i="30"/>
  <c r="Q32" i="30" s="1"/>
  <c r="AF18" i="30"/>
  <c r="AF20" i="30" s="1"/>
  <c r="W20" i="23"/>
  <c r="T69" i="11"/>
  <c r="T75" i="11" s="1"/>
  <c r="T51" i="11"/>
  <c r="S69" i="11"/>
  <c r="S75" i="11" s="1"/>
  <c r="U35" i="22"/>
  <c r="U38" i="22" s="1"/>
  <c r="U72" i="3"/>
  <c r="T157" i="3"/>
  <c r="U161" i="3"/>
  <c r="U19" i="3"/>
  <c r="U13" i="3"/>
  <c r="U8" i="3" s="1"/>
  <c r="U124" i="3"/>
  <c r="U113" i="3"/>
  <c r="U135" i="3"/>
  <c r="U87" i="3"/>
  <c r="U109" i="3" s="1"/>
  <c r="U61" i="3"/>
  <c r="U157" i="3"/>
  <c r="U35" i="3"/>
  <c r="U57" i="3" s="1"/>
  <c r="T109" i="3"/>
  <c r="U26" i="3"/>
  <c r="T153" i="3"/>
  <c r="T144" i="3"/>
  <c r="T31" i="3"/>
  <c r="T83" i="3"/>
  <c r="T135" i="3"/>
  <c r="T150" i="3"/>
  <c r="U153" i="3"/>
  <c r="U150" i="3" s="1"/>
  <c r="T57" i="3"/>
  <c r="AG33" i="30" l="1"/>
  <c r="AG36" i="30" s="1"/>
  <c r="D26" i="15"/>
  <c r="T139" i="3"/>
  <c r="T163" i="3" s="1"/>
  <c r="P14" i="30"/>
  <c r="P18" i="30" s="1"/>
  <c r="P20" i="30" s="1"/>
  <c r="U83" i="3"/>
  <c r="U144" i="3"/>
  <c r="U31" i="3"/>
  <c r="P33" i="30" l="1"/>
  <c r="P36" i="30" s="1"/>
  <c r="U139" i="3"/>
  <c r="Q14" i="30"/>
  <c r="Q18" i="30" s="1"/>
  <c r="Q20" i="30" s="1"/>
  <c r="Q33" i="30" s="1"/>
  <c r="U181" i="7"/>
  <c r="U189" i="7"/>
  <c r="U187" i="7"/>
  <c r="U186" i="7"/>
  <c r="U185" i="7"/>
  <c r="U182" i="7"/>
  <c r="U171" i="7"/>
  <c r="U170" i="7"/>
  <c r="U130" i="7"/>
  <c r="V153" i="7"/>
  <c r="U153" i="7"/>
  <c r="V155" i="7"/>
  <c r="V154" i="7"/>
  <c r="V152" i="7"/>
  <c r="V151" i="7"/>
  <c r="V150" i="7"/>
  <c r="V149" i="7"/>
  <c r="V147" i="7"/>
  <c r="V146" i="7"/>
  <c r="V145" i="7"/>
  <c r="V144" i="7"/>
  <c r="V134" i="7"/>
  <c r="V135" i="7"/>
  <c r="V136" i="7"/>
  <c r="V137" i="7"/>
  <c r="V138" i="7"/>
  <c r="V139" i="7"/>
  <c r="V140" i="7"/>
  <c r="V141" i="7"/>
  <c r="V142" i="7"/>
  <c r="V133" i="7"/>
  <c r="U132" i="7"/>
  <c r="U131" i="7"/>
  <c r="V131" i="7" s="1"/>
  <c r="U126" i="7"/>
  <c r="V125" i="7"/>
  <c r="V124" i="7"/>
  <c r="V111" i="7"/>
  <c r="U96" i="7"/>
  <c r="U83" i="7"/>
  <c r="V83" i="7"/>
  <c r="U93" i="7"/>
  <c r="V95" i="7"/>
  <c r="V94" i="7"/>
  <c r="V92" i="7"/>
  <c r="V91" i="7"/>
  <c r="V90" i="7"/>
  <c r="V89" i="7"/>
  <c r="V82" i="7"/>
  <c r="V81" i="7"/>
  <c r="V80" i="7"/>
  <c r="V79" i="7"/>
  <c r="V78" i="7"/>
  <c r="V77" i="7"/>
  <c r="V76" i="7"/>
  <c r="V75" i="7"/>
  <c r="V74" i="7"/>
  <c r="V73" i="7"/>
  <c r="V34" i="7"/>
  <c r="V186" i="7"/>
  <c r="V143" i="7" l="1"/>
  <c r="U156" i="7"/>
  <c r="U163" i="3"/>
  <c r="Q36" i="30" s="1"/>
  <c r="D24" i="15"/>
  <c r="D27" i="15" s="1"/>
  <c r="V157" i="7"/>
  <c r="V127" i="7"/>
  <c r="V97" i="7"/>
  <c r="V67" i="7"/>
  <c r="V37" i="7"/>
  <c r="V56" i="19"/>
  <c r="V53" i="19"/>
  <c r="V54" i="19"/>
  <c r="V51" i="19" s="1"/>
  <c r="V52" i="19"/>
  <c r="V47" i="19"/>
  <c r="V48" i="19"/>
  <c r="V49" i="19"/>
  <c r="V46" i="19"/>
  <c r="U45" i="19"/>
  <c r="V44" i="19"/>
  <c r="V43" i="19"/>
  <c r="T42" i="19"/>
  <c r="V40" i="19"/>
  <c r="V39" i="19"/>
  <c r="V38" i="19"/>
  <c r="V37" i="19"/>
  <c r="V36" i="19"/>
  <c r="V35" i="19"/>
  <c r="V33" i="19"/>
  <c r="V32" i="19"/>
  <c r="V31" i="19"/>
  <c r="V30" i="19"/>
  <c r="V29" i="19"/>
  <c r="V28" i="19"/>
  <c r="V25" i="19"/>
  <c r="V21" i="19"/>
  <c r="V20" i="19"/>
  <c r="V19" i="19"/>
  <c r="V16" i="19"/>
  <c r="V12" i="19"/>
  <c r="V9" i="19"/>
  <c r="V10" i="19"/>
  <c r="V8" i="19"/>
  <c r="T7" i="19"/>
  <c r="V22" i="19"/>
  <c r="V55" i="19"/>
  <c r="U55" i="19"/>
  <c r="U51" i="19"/>
  <c r="U41" i="19"/>
  <c r="U11" i="19"/>
  <c r="U26" i="19" s="1"/>
  <c r="U7" i="19"/>
  <c r="V65" i="7"/>
  <c r="V64" i="7"/>
  <c r="V63" i="7" s="1"/>
  <c r="V62" i="7"/>
  <c r="V61" i="7"/>
  <c r="V60" i="7"/>
  <c r="V59" i="7"/>
  <c r="V57" i="7"/>
  <c r="V56" i="7"/>
  <c r="V55" i="7"/>
  <c r="V54" i="7"/>
  <c r="U58" i="7"/>
  <c r="T58" i="7"/>
  <c r="U41" i="7"/>
  <c r="V35" i="7"/>
  <c r="V33" i="7"/>
  <c r="V32" i="7" s="1"/>
  <c r="V31" i="7"/>
  <c r="V30" i="7"/>
  <c r="V29" i="7"/>
  <c r="V28" i="7"/>
  <c r="V27" i="7"/>
  <c r="T26" i="7"/>
  <c r="U26" i="7"/>
  <c r="V25" i="7"/>
  <c r="V24" i="7"/>
  <c r="V23" i="7"/>
  <c r="V22" i="7"/>
  <c r="T21" i="7"/>
  <c r="V12" i="7"/>
  <c r="V13" i="7"/>
  <c r="V14" i="7"/>
  <c r="V15" i="7"/>
  <c r="V16" i="7"/>
  <c r="V17" i="7"/>
  <c r="V18" i="7"/>
  <c r="V19" i="7"/>
  <c r="V20" i="7"/>
  <c r="V11" i="7"/>
  <c r="U165" i="7"/>
  <c r="U164" i="7"/>
  <c r="U163" i="7"/>
  <c r="U123" i="7"/>
  <c r="V110" i="7"/>
  <c r="U63" i="7"/>
  <c r="U32" i="7"/>
  <c r="U183" i="7"/>
  <c r="U166" i="7"/>
  <c r="U10" i="7"/>
  <c r="U9" i="7" s="1"/>
  <c r="V53" i="7" l="1"/>
  <c r="U66" i="7"/>
  <c r="V41" i="7"/>
  <c r="V45" i="19"/>
  <c r="V58" i="7"/>
  <c r="U8" i="7"/>
  <c r="U36" i="7" s="1"/>
  <c r="V26" i="7"/>
  <c r="V11" i="19"/>
  <c r="V26" i="19" s="1"/>
  <c r="U50" i="19"/>
  <c r="U58" i="19" s="1"/>
  <c r="V42" i="19"/>
  <c r="V7" i="19"/>
  <c r="A56" i="11"/>
  <c r="A57" i="11" s="1"/>
  <c r="A58" i="11" s="1"/>
  <c r="A59" i="11" s="1"/>
  <c r="A60" i="11" s="1"/>
  <c r="A61" i="11" s="1"/>
  <c r="A48" i="11"/>
  <c r="M17" i="23"/>
  <c r="O17" i="23" s="1"/>
  <c r="I17" i="23"/>
  <c r="O11" i="30"/>
  <c r="O10" i="30"/>
  <c r="E25" i="15"/>
  <c r="F25" i="15" s="1"/>
  <c r="G25" i="15" s="1"/>
  <c r="F8" i="15"/>
  <c r="G8" i="15" s="1"/>
  <c r="R51" i="11"/>
  <c r="Q51" i="11"/>
  <c r="V40" i="7" l="1"/>
  <c r="V66" i="7" s="1"/>
  <c r="U59" i="19"/>
  <c r="U62" i="19"/>
  <c r="T34" i="19"/>
  <c r="V34" i="19" s="1"/>
  <c r="V41" i="19" s="1"/>
  <c r="V50" i="19" s="1"/>
  <c r="V58" i="19" s="1"/>
  <c r="V59" i="19" s="1"/>
  <c r="T188" i="7"/>
  <c r="T187" i="7"/>
  <c r="T185" i="7"/>
  <c r="V185" i="7" s="1"/>
  <c r="T183" i="7"/>
  <c r="V183" i="7" s="1"/>
  <c r="T182" i="7"/>
  <c r="T181" i="7"/>
  <c r="V181" i="7" s="1"/>
  <c r="T180" i="7"/>
  <c r="V180" i="7" s="1"/>
  <c r="T179" i="7"/>
  <c r="V179" i="7" s="1"/>
  <c r="T177" i="7"/>
  <c r="V177" i="7" s="1"/>
  <c r="T176" i="7"/>
  <c r="V176" i="7" s="1"/>
  <c r="T175" i="7"/>
  <c r="V175" i="7" s="1"/>
  <c r="T174" i="7"/>
  <c r="T172" i="7"/>
  <c r="V172" i="7" s="1"/>
  <c r="T171" i="7"/>
  <c r="V171" i="7" s="1"/>
  <c r="T170" i="7"/>
  <c r="T169" i="7"/>
  <c r="V169" i="7" s="1"/>
  <c r="T168" i="7"/>
  <c r="V168" i="7" s="1"/>
  <c r="T167" i="7"/>
  <c r="V167" i="7" s="1"/>
  <c r="T166" i="7"/>
  <c r="V166" i="7" s="1"/>
  <c r="T165" i="7"/>
  <c r="V165" i="7" s="1"/>
  <c r="T164" i="7"/>
  <c r="V164" i="7" s="1"/>
  <c r="T163" i="7"/>
  <c r="V163" i="7" s="1"/>
  <c r="T157" i="7"/>
  <c r="T153" i="7"/>
  <c r="T148" i="7"/>
  <c r="T143" i="7"/>
  <c r="T132" i="7"/>
  <c r="T131" i="7" s="1"/>
  <c r="T127" i="7"/>
  <c r="T123" i="7"/>
  <c r="V123" i="7" s="1"/>
  <c r="T118" i="7"/>
  <c r="T113" i="7"/>
  <c r="T102" i="7"/>
  <c r="T101" i="7" s="1"/>
  <c r="T97" i="7"/>
  <c r="T93" i="7"/>
  <c r="V93" i="7" s="1"/>
  <c r="T83" i="7"/>
  <c r="T72" i="7"/>
  <c r="T71" i="7" s="1"/>
  <c r="V71" i="7" s="1"/>
  <c r="V70" i="7" s="1"/>
  <c r="T67" i="7"/>
  <c r="T63" i="7"/>
  <c r="T53" i="7"/>
  <c r="T42" i="7"/>
  <c r="T41" i="7" s="1"/>
  <c r="T37" i="7"/>
  <c r="T32" i="7"/>
  <c r="T10" i="7"/>
  <c r="S161" i="3"/>
  <c r="S162" i="3" s="1"/>
  <c r="S160" i="3"/>
  <c r="S159" i="3"/>
  <c r="S158" i="3"/>
  <c r="S156" i="3"/>
  <c r="S152" i="3"/>
  <c r="S151" i="3"/>
  <c r="S149" i="3"/>
  <c r="S148" i="3"/>
  <c r="S147" i="3"/>
  <c r="S146" i="3"/>
  <c r="S145" i="3"/>
  <c r="S143" i="3"/>
  <c r="O13" i="30" s="1"/>
  <c r="S142" i="3"/>
  <c r="O12" i="30" s="1"/>
  <c r="S141" i="3"/>
  <c r="S140" i="3"/>
  <c r="S131" i="3"/>
  <c r="S127" i="3"/>
  <c r="S124" i="3"/>
  <c r="S118" i="3"/>
  <c r="S113" i="3" s="1"/>
  <c r="S135" i="3" s="1"/>
  <c r="S105" i="3"/>
  <c r="S101" i="3"/>
  <c r="S98" i="3"/>
  <c r="S92" i="3"/>
  <c r="S87" i="3"/>
  <c r="S79" i="3"/>
  <c r="S75" i="3"/>
  <c r="S72" i="3" s="1"/>
  <c r="S66" i="3"/>
  <c r="S61" i="3" s="1"/>
  <c r="S53" i="3"/>
  <c r="S155" i="3" s="1"/>
  <c r="S49" i="3"/>
  <c r="S46" i="3"/>
  <c r="S40" i="3"/>
  <c r="S35" i="3" s="1"/>
  <c r="S26" i="3"/>
  <c r="S154" i="3"/>
  <c r="S22" i="3"/>
  <c r="S13" i="3"/>
  <c r="S8" i="3" s="1"/>
  <c r="T55" i="19"/>
  <c r="T51" i="19"/>
  <c r="T45" i="19"/>
  <c r="T41" i="19"/>
  <c r="T11" i="19"/>
  <c r="T26" i="19" s="1"/>
  <c r="S35" i="22"/>
  <c r="R68" i="11"/>
  <c r="R67" i="11"/>
  <c r="R66" i="11"/>
  <c r="R65" i="11"/>
  <c r="R62" i="11"/>
  <c r="R60" i="11"/>
  <c r="R52" i="11"/>
  <c r="R41" i="11"/>
  <c r="R23" i="14"/>
  <c r="R24" i="14" s="1"/>
  <c r="R10" i="14"/>
  <c r="T189" i="7" l="1"/>
  <c r="V189" i="7" s="1"/>
  <c r="V187" i="7"/>
  <c r="V188" i="7"/>
  <c r="V174" i="7"/>
  <c r="V173" i="7" s="1"/>
  <c r="V182" i="7"/>
  <c r="V170" i="7"/>
  <c r="V10" i="7"/>
  <c r="V62" i="19" s="1"/>
  <c r="T130" i="7"/>
  <c r="V130" i="7" s="1"/>
  <c r="V156" i="7" s="1"/>
  <c r="T40" i="7"/>
  <c r="T66" i="7" s="1"/>
  <c r="T70" i="7"/>
  <c r="T96" i="7" s="1"/>
  <c r="V96" i="7" s="1"/>
  <c r="T100" i="7"/>
  <c r="V126" i="7" s="1"/>
  <c r="S19" i="3"/>
  <c r="T9" i="7"/>
  <c r="S157" i="3"/>
  <c r="U23" i="23"/>
  <c r="S38" i="22"/>
  <c r="S109" i="3"/>
  <c r="S153" i="3"/>
  <c r="S150" i="3" s="1"/>
  <c r="R27" i="14"/>
  <c r="S144" i="3"/>
  <c r="S139" i="3" s="1"/>
  <c r="T156" i="7"/>
  <c r="T50" i="19"/>
  <c r="T58" i="19" s="1"/>
  <c r="T59" i="19" s="1"/>
  <c r="S57" i="3"/>
  <c r="S83" i="3"/>
  <c r="S31" i="3"/>
  <c r="R74" i="11"/>
  <c r="R69" i="11"/>
  <c r="R75" i="11" s="1"/>
  <c r="R73" i="11"/>
  <c r="T126" i="7" l="1"/>
  <c r="T8" i="7"/>
  <c r="V9" i="7"/>
  <c r="T161" i="7"/>
  <c r="E26" i="15"/>
  <c r="F26" i="15" s="1"/>
  <c r="G26" i="15" s="1"/>
  <c r="T62" i="19"/>
  <c r="S163" i="3"/>
  <c r="AE27" i="30"/>
  <c r="AE23" i="30"/>
  <c r="AE22" i="30"/>
  <c r="AE21" i="30"/>
  <c r="AE15" i="30"/>
  <c r="AE14" i="30"/>
  <c r="AE13" i="30"/>
  <c r="AE12" i="30"/>
  <c r="AE11" i="30"/>
  <c r="O30" i="30"/>
  <c r="O23" i="30"/>
  <c r="O22" i="30"/>
  <c r="O21" i="30"/>
  <c r="O15" i="30"/>
  <c r="O14" i="30"/>
  <c r="S55" i="19"/>
  <c r="AE28" i="30" l="1"/>
  <c r="AE32" i="30" s="1"/>
  <c r="T36" i="7"/>
  <c r="V36" i="7"/>
  <c r="AE10" i="30"/>
  <c r="AE18" i="30" s="1"/>
  <c r="T160" i="7"/>
  <c r="T190" i="7" s="1"/>
  <c r="T193" i="7" s="1"/>
  <c r="O28" i="30"/>
  <c r="O32" i="30" s="1"/>
  <c r="O18" i="30"/>
  <c r="O20" i="30" s="1"/>
  <c r="R144" i="3"/>
  <c r="R150" i="3"/>
  <c r="Q23" i="14"/>
  <c r="O33" i="30" l="1"/>
  <c r="O36" i="30" s="1"/>
  <c r="M30" i="30"/>
  <c r="E7" i="15"/>
  <c r="F7" i="15" l="1"/>
  <c r="G7" i="15" s="1"/>
  <c r="H7" i="15" s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4" i="3"/>
  <c r="R30" i="22"/>
  <c r="R13" i="3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l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S183" i="7"/>
  <c r="E9" i="15" l="1"/>
  <c r="F9" i="15" s="1"/>
  <c r="G9" i="15" s="1"/>
  <c r="R23" i="3" l="1"/>
  <c r="R22" i="3" s="1"/>
  <c r="S34" i="19" l="1"/>
  <c r="P10" i="14"/>
  <c r="P24" i="14" s="1"/>
  <c r="S20" i="23"/>
  <c r="Q68" i="11"/>
  <c r="Q67" i="11"/>
  <c r="Q66" i="11"/>
  <c r="Q65" i="11"/>
  <c r="P69" i="11"/>
  <c r="P75" i="11" s="1"/>
  <c r="P62" i="11"/>
  <c r="P60" i="11"/>
  <c r="P74" i="11" s="1"/>
  <c r="P52" i="11"/>
  <c r="P51" i="11"/>
  <c r="P41" i="11"/>
  <c r="P40" i="11"/>
  <c r="Q28" i="22"/>
  <c r="Q35" i="22" s="1"/>
  <c r="R55" i="19"/>
  <c r="R51" i="19"/>
  <c r="R45" i="19"/>
  <c r="R42" i="19"/>
  <c r="R41" i="19"/>
  <c r="R11" i="19"/>
  <c r="R26" i="19" s="1"/>
  <c r="R7" i="19"/>
  <c r="Q161" i="3"/>
  <c r="Q162" i="3" s="1"/>
  <c r="Q160" i="3"/>
  <c r="M15" i="30" s="1"/>
  <c r="Q159" i="3"/>
  <c r="Q158" i="3"/>
  <c r="Q156" i="3"/>
  <c r="Q154" i="3"/>
  <c r="Q152" i="3"/>
  <c r="M22" i="30" s="1"/>
  <c r="Q151" i="3"/>
  <c r="M21" i="30" s="1"/>
  <c r="Q149" i="3"/>
  <c r="Q148" i="3"/>
  <c r="Q147" i="3"/>
  <c r="Q146" i="3"/>
  <c r="Q143" i="3"/>
  <c r="Q142" i="3"/>
  <c r="M12" i="30" s="1"/>
  <c r="Q141" i="3"/>
  <c r="M11" i="30" s="1"/>
  <c r="Q140" i="3"/>
  <c r="M10" i="30" s="1"/>
  <c r="Q136" i="3"/>
  <c r="Q131" i="3"/>
  <c r="Q127" i="3"/>
  <c r="Q124" i="3" s="1"/>
  <c r="Q118" i="3"/>
  <c r="Q113" i="3" s="1"/>
  <c r="Q110" i="3"/>
  <c r="Q105" i="3"/>
  <c r="Q101" i="3"/>
  <c r="Q98" i="3" s="1"/>
  <c r="Q92" i="3"/>
  <c r="Q87" i="3" s="1"/>
  <c r="Q84" i="3"/>
  <c r="Q79" i="3"/>
  <c r="Q75" i="3"/>
  <c r="Q72" i="3" s="1"/>
  <c r="Q66" i="3"/>
  <c r="Q61" i="3" s="1"/>
  <c r="Q58" i="3"/>
  <c r="Q53" i="3"/>
  <c r="Q49" i="3"/>
  <c r="Q46" i="3" s="1"/>
  <c r="Q40" i="3"/>
  <c r="Q35" i="3" s="1"/>
  <c r="Q32" i="3"/>
  <c r="Q26" i="3"/>
  <c r="Q22" i="3"/>
  <c r="Q19" i="3" s="1"/>
  <c r="Q14" i="3"/>
  <c r="Q145" i="3" s="1"/>
  <c r="R188" i="7"/>
  <c r="R187" i="7"/>
  <c r="R189" i="7" s="1"/>
  <c r="R185" i="7"/>
  <c r="R183" i="7"/>
  <c r="AC23" i="30" s="1"/>
  <c r="R182" i="7"/>
  <c r="AC27" i="30" s="1"/>
  <c r="R181" i="7"/>
  <c r="AC22" i="30" s="1"/>
  <c r="R180" i="7"/>
  <c r="R179" i="7"/>
  <c r="R177" i="7"/>
  <c r="AC15" i="30" s="1"/>
  <c r="R176" i="7"/>
  <c r="R175" i="7"/>
  <c r="AC13" i="30" s="1"/>
  <c r="R174" i="7"/>
  <c r="R172" i="7"/>
  <c r="AC12" i="30" s="1"/>
  <c r="R171" i="7"/>
  <c r="AC11" i="30" s="1"/>
  <c r="R170" i="7"/>
  <c r="R169" i="7"/>
  <c r="R168" i="7"/>
  <c r="R167" i="7"/>
  <c r="R166" i="7"/>
  <c r="R165" i="7"/>
  <c r="R164" i="7"/>
  <c r="R163" i="7"/>
  <c r="R157" i="7"/>
  <c r="R153" i="7"/>
  <c r="R148" i="7"/>
  <c r="R143" i="7"/>
  <c r="R132" i="7"/>
  <c r="R131" i="7" s="1"/>
  <c r="R130" i="7" s="1"/>
  <c r="R127" i="7"/>
  <c r="R123" i="7"/>
  <c r="R118" i="7"/>
  <c r="R113" i="7"/>
  <c r="R102" i="7"/>
  <c r="R101" i="7" s="1"/>
  <c r="R97" i="7"/>
  <c r="R93" i="7"/>
  <c r="R83" i="7"/>
  <c r="R72" i="7"/>
  <c r="R71" i="7"/>
  <c r="R67" i="7"/>
  <c r="R63" i="7"/>
  <c r="R58" i="7"/>
  <c r="R53" i="7"/>
  <c r="R42" i="7"/>
  <c r="R41" i="7" s="1"/>
  <c r="R37" i="7"/>
  <c r="R32" i="7"/>
  <c r="R26" i="7"/>
  <c r="R21" i="7"/>
  <c r="R10" i="7"/>
  <c r="R9" i="7" s="1"/>
  <c r="R40" i="7" l="1"/>
  <c r="R70" i="7"/>
  <c r="R8" i="7"/>
  <c r="R100" i="7"/>
  <c r="R126" i="7" s="1"/>
  <c r="R173" i="7"/>
  <c r="P73" i="11"/>
  <c r="AC28" i="30"/>
  <c r="AC32" i="30" s="1"/>
  <c r="Q157" i="3"/>
  <c r="Q155" i="3"/>
  <c r="S23" i="23"/>
  <c r="Q109" i="3"/>
  <c r="R50" i="19"/>
  <c r="R58" i="19" s="1"/>
  <c r="R59" i="19" s="1"/>
  <c r="AC14" i="30"/>
  <c r="R66" i="7"/>
  <c r="R162" i="7"/>
  <c r="R161" i="7" s="1"/>
  <c r="R184" i="7"/>
  <c r="Q83" i="3"/>
  <c r="Q135" i="3"/>
  <c r="Q38" i="22"/>
  <c r="R156" i="7"/>
  <c r="R36" i="7"/>
  <c r="R178" i="7"/>
  <c r="Q57" i="3"/>
  <c r="M13" i="30"/>
  <c r="R96" i="7"/>
  <c r="Q144" i="3"/>
  <c r="M14" i="30" s="1"/>
  <c r="Q153" i="3"/>
  <c r="M23" i="30" s="1"/>
  <c r="M28" i="30" s="1"/>
  <c r="M32" i="30" s="1"/>
  <c r="P27" i="14"/>
  <c r="Q139" i="3"/>
  <c r="Q13" i="3"/>
  <c r="Q8" i="3" s="1"/>
  <c r="Q31" i="3" s="1"/>
  <c r="R62" i="19" l="1"/>
  <c r="M18" i="30"/>
  <c r="M20" i="30" s="1"/>
  <c r="M33" i="30" s="1"/>
  <c r="M36" i="30" s="1"/>
  <c r="Q150" i="3"/>
  <c r="Q163" i="3" s="1"/>
  <c r="R160" i="7"/>
  <c r="R190" i="7" s="1"/>
  <c r="R193" i="7" s="1"/>
  <c r="AC10" i="30"/>
  <c r="AC18" i="30" s="1"/>
  <c r="AC20" i="30" s="1"/>
  <c r="AC33" i="30" s="1"/>
  <c r="AC36" i="30" s="1"/>
  <c r="Q10" i="14" l="1"/>
  <c r="Q24" i="14" s="1"/>
  <c r="Q27" i="14" s="1"/>
  <c r="O10" i="14"/>
  <c r="P22" i="3" l="1"/>
  <c r="S7" i="19"/>
  <c r="Q7" i="19"/>
  <c r="O11" i="19"/>
  <c r="P11" i="19"/>
  <c r="Q11" i="19"/>
  <c r="S11" i="19"/>
  <c r="S51" i="19"/>
  <c r="Q51" i="19"/>
  <c r="S41" i="19"/>
  <c r="O40" i="11" l="1"/>
  <c r="E21" i="15" l="1"/>
  <c r="F21" i="15" s="1"/>
  <c r="G21" i="15" s="1"/>
  <c r="Q69" i="11"/>
  <c r="Q62" i="11"/>
  <c r="Q60" i="11"/>
  <c r="Q52" i="11"/>
  <c r="Q73" i="11"/>
  <c r="Q41" i="11"/>
  <c r="R35" i="22"/>
  <c r="S45" i="19"/>
  <c r="S42" i="19"/>
  <c r="S26" i="19"/>
  <c r="R161" i="3"/>
  <c r="R162" i="3" s="1"/>
  <c r="R160" i="3"/>
  <c r="N15" i="30" s="1"/>
  <c r="R159" i="3"/>
  <c r="R158" i="3"/>
  <c r="R156" i="3"/>
  <c r="R154" i="3"/>
  <c r="R152" i="3"/>
  <c r="N22" i="30" s="1"/>
  <c r="R151" i="3"/>
  <c r="N21" i="30" s="1"/>
  <c r="R149" i="3"/>
  <c r="R148" i="3"/>
  <c r="R147" i="3"/>
  <c r="R146" i="3"/>
  <c r="R145" i="3"/>
  <c r="R143" i="3"/>
  <c r="N13" i="30" s="1"/>
  <c r="R142" i="3"/>
  <c r="N12" i="30" s="1"/>
  <c r="R141" i="3"/>
  <c r="N11" i="30" s="1"/>
  <c r="R140" i="3"/>
  <c r="N10" i="30" s="1"/>
  <c r="R136" i="3"/>
  <c r="R131" i="3"/>
  <c r="R127" i="3"/>
  <c r="R124" i="3" s="1"/>
  <c r="R118" i="3"/>
  <c r="R113" i="3" s="1"/>
  <c r="R110" i="3"/>
  <c r="R105" i="3"/>
  <c r="R101" i="3"/>
  <c r="R98" i="3" s="1"/>
  <c r="R92" i="3"/>
  <c r="R87" i="3" s="1"/>
  <c r="R84" i="3"/>
  <c r="R79" i="3"/>
  <c r="R75" i="3"/>
  <c r="R72" i="3" s="1"/>
  <c r="R66" i="3"/>
  <c r="R61" i="3" s="1"/>
  <c r="R58" i="3"/>
  <c r="R53" i="3"/>
  <c r="R49" i="3"/>
  <c r="R46" i="3" s="1"/>
  <c r="R40" i="3"/>
  <c r="R35" i="3" s="1"/>
  <c r="R32" i="3"/>
  <c r="R26" i="3"/>
  <c r="R19" i="3"/>
  <c r="R8" i="3"/>
  <c r="S188" i="7"/>
  <c r="E18" i="15" s="1"/>
  <c r="F18" i="15" s="1"/>
  <c r="G18" i="15" s="1"/>
  <c r="S187" i="7"/>
  <c r="S189" i="7" s="1"/>
  <c r="S185" i="7"/>
  <c r="AD23" i="30"/>
  <c r="S182" i="7"/>
  <c r="AD27" i="30" s="1"/>
  <c r="S181" i="7"/>
  <c r="S180" i="7"/>
  <c r="S179" i="7"/>
  <c r="AD21" i="30" s="1"/>
  <c r="S177" i="7"/>
  <c r="E15" i="15" s="1"/>
  <c r="S176" i="7"/>
  <c r="E14" i="15" s="1"/>
  <c r="F14" i="15" s="1"/>
  <c r="G14" i="15" s="1"/>
  <c r="S175" i="7"/>
  <c r="S174" i="7"/>
  <c r="E13" i="15" s="1"/>
  <c r="F13" i="15" s="1"/>
  <c r="G13" i="15" s="1"/>
  <c r="S172" i="7"/>
  <c r="E12" i="15" s="1"/>
  <c r="S171" i="7"/>
  <c r="E11" i="15" s="1"/>
  <c r="S170" i="7"/>
  <c r="S169" i="7"/>
  <c r="S168" i="7"/>
  <c r="S167" i="7"/>
  <c r="S166" i="7"/>
  <c r="S165" i="7"/>
  <c r="S164" i="7"/>
  <c r="S163" i="7"/>
  <c r="S157" i="7"/>
  <c r="S153" i="7"/>
  <c r="S148" i="7"/>
  <c r="S143" i="7"/>
  <c r="S132" i="7"/>
  <c r="S131" i="7" s="1"/>
  <c r="S127" i="7"/>
  <c r="S123" i="7"/>
  <c r="S118" i="7"/>
  <c r="S113" i="7"/>
  <c r="S102" i="7"/>
  <c r="S101" i="7" s="1"/>
  <c r="S97" i="7"/>
  <c r="S93" i="7"/>
  <c r="S83" i="7"/>
  <c r="S72" i="7"/>
  <c r="S71" i="7" s="1"/>
  <c r="S67" i="7"/>
  <c r="S63" i="7"/>
  <c r="S58" i="7"/>
  <c r="S53" i="7"/>
  <c r="S42" i="7"/>
  <c r="S41" i="7" s="1"/>
  <c r="S37" i="7"/>
  <c r="S32" i="7"/>
  <c r="S26" i="7"/>
  <c r="S21" i="7"/>
  <c r="S10" i="7"/>
  <c r="S9" i="7" s="1"/>
  <c r="F15" i="15" l="1"/>
  <c r="G15" i="15" s="1"/>
  <c r="H15" i="15" s="1"/>
  <c r="F12" i="15"/>
  <c r="G12" i="15" s="1"/>
  <c r="H12" i="15" s="1"/>
  <c r="F11" i="15"/>
  <c r="E19" i="15"/>
  <c r="F19" i="15" s="1"/>
  <c r="G19" i="15" s="1"/>
  <c r="S130" i="7"/>
  <c r="S156" i="7" s="1"/>
  <c r="S100" i="7"/>
  <c r="S126" i="7" s="1"/>
  <c r="S70" i="7"/>
  <c r="S96" i="7" s="1"/>
  <c r="E10" i="15"/>
  <c r="F10" i="15" s="1"/>
  <c r="G10" i="15" s="1"/>
  <c r="R155" i="3"/>
  <c r="R153" i="3" s="1"/>
  <c r="T23" i="23"/>
  <c r="R109" i="3"/>
  <c r="S40" i="7"/>
  <c r="S66" i="7" s="1"/>
  <c r="N30" i="30"/>
  <c r="Q75" i="11"/>
  <c r="R38" i="22"/>
  <c r="E17" i="15"/>
  <c r="E16" i="15"/>
  <c r="F16" i="15" s="1"/>
  <c r="G16" i="15" s="1"/>
  <c r="AD22" i="30"/>
  <c r="S173" i="7"/>
  <c r="AD15" i="30"/>
  <c r="S8" i="7"/>
  <c r="AD14" i="30"/>
  <c r="AD13" i="30"/>
  <c r="E6" i="15"/>
  <c r="AD12" i="30"/>
  <c r="AD11" i="30"/>
  <c r="S162" i="7"/>
  <c r="N14" i="30"/>
  <c r="N18" i="30" s="1"/>
  <c r="S50" i="19"/>
  <c r="S58" i="19" s="1"/>
  <c r="R135" i="3"/>
  <c r="R83" i="3"/>
  <c r="R157" i="3"/>
  <c r="R31" i="3"/>
  <c r="R57" i="3"/>
  <c r="S184" i="7"/>
  <c r="S178" i="7"/>
  <c r="E22" i="15" l="1"/>
  <c r="F6" i="15"/>
  <c r="G6" i="15" s="1"/>
  <c r="F17" i="15"/>
  <c r="G17" i="15" s="1"/>
  <c r="H17" i="15" s="1"/>
  <c r="G11" i="15"/>
  <c r="H11" i="15" s="1"/>
  <c r="N23" i="30"/>
  <c r="H25" i="15"/>
  <c r="Q74" i="11"/>
  <c r="S36" i="7"/>
  <c r="S161" i="7"/>
  <c r="S59" i="19"/>
  <c r="S62" i="19" s="1"/>
  <c r="R139" i="3"/>
  <c r="H22" i="15" l="1"/>
  <c r="H26" i="15"/>
  <c r="H27" i="15" s="1"/>
  <c r="E24" i="15"/>
  <c r="E27" i="15" s="1"/>
  <c r="E28" i="15" s="1"/>
  <c r="R163" i="3"/>
  <c r="AD10" i="30"/>
  <c r="S160" i="7"/>
  <c r="S190" i="7" s="1"/>
  <c r="F24" i="15" l="1"/>
  <c r="S193" i="7"/>
  <c r="F27" i="15" l="1"/>
  <c r="F28" i="15" s="1"/>
  <c r="G24" i="15"/>
  <c r="G27" i="15" s="1"/>
  <c r="P35" i="22"/>
  <c r="P161" i="3" l="1"/>
  <c r="Q55" i="19"/>
  <c r="Q26" i="19" l="1"/>
  <c r="AD28" i="30"/>
  <c r="AD32" i="30" s="1"/>
  <c r="AD18" i="30"/>
  <c r="AD20" i="30" s="1"/>
  <c r="N28" i="30"/>
  <c r="N32" i="30" s="1"/>
  <c r="N20" i="30"/>
  <c r="O24" i="14"/>
  <c r="R20" i="23"/>
  <c r="O69" i="11"/>
  <c r="O62" i="11"/>
  <c r="O60" i="11"/>
  <c r="O52" i="11"/>
  <c r="O51" i="11"/>
  <c r="O41" i="11"/>
  <c r="Q45" i="19"/>
  <c r="Q42" i="19"/>
  <c r="Q41" i="19"/>
  <c r="P162" i="3"/>
  <c r="P160" i="3"/>
  <c r="P159" i="3"/>
  <c r="P158" i="3"/>
  <c r="P156" i="3"/>
  <c r="P154" i="3"/>
  <c r="P152" i="3"/>
  <c r="P151" i="3"/>
  <c r="P149" i="3"/>
  <c r="P148" i="3"/>
  <c r="P147" i="3"/>
  <c r="P146" i="3"/>
  <c r="P145" i="3"/>
  <c r="P143" i="3"/>
  <c r="P142" i="3"/>
  <c r="P141" i="3"/>
  <c r="P140" i="3"/>
  <c r="P136" i="3"/>
  <c r="P131" i="3"/>
  <c r="P127" i="3"/>
  <c r="P124" i="3" s="1"/>
  <c r="P118" i="3"/>
  <c r="P113" i="3" s="1"/>
  <c r="P110" i="3"/>
  <c r="P105" i="3"/>
  <c r="P101" i="3"/>
  <c r="P98" i="3" s="1"/>
  <c r="P92" i="3"/>
  <c r="P87" i="3" s="1"/>
  <c r="P84" i="3"/>
  <c r="P79" i="3"/>
  <c r="P75" i="3"/>
  <c r="P72" i="3" s="1"/>
  <c r="P66" i="3"/>
  <c r="P61" i="3" s="1"/>
  <c r="P58" i="3"/>
  <c r="P53" i="3"/>
  <c r="P49" i="3"/>
  <c r="P46" i="3" s="1"/>
  <c r="P40" i="3"/>
  <c r="P35" i="3" s="1"/>
  <c r="P32" i="3"/>
  <c r="P26" i="3"/>
  <c r="P19" i="3"/>
  <c r="P13" i="3"/>
  <c r="P8" i="3" s="1"/>
  <c r="Q188" i="7"/>
  <c r="Q187" i="7"/>
  <c r="Q185" i="7"/>
  <c r="Q183" i="7"/>
  <c r="Q182" i="7"/>
  <c r="Q181" i="7"/>
  <c r="Q180" i="7"/>
  <c r="Q179" i="7"/>
  <c r="Q177" i="7"/>
  <c r="Q176" i="7"/>
  <c r="Q175" i="7"/>
  <c r="Q174" i="7"/>
  <c r="Q172" i="7"/>
  <c r="Q171" i="7"/>
  <c r="Q170" i="7"/>
  <c r="Q169" i="7"/>
  <c r="Q168" i="7"/>
  <c r="Q167" i="7"/>
  <c r="Q166" i="7"/>
  <c r="Q165" i="7"/>
  <c r="Q164" i="7"/>
  <c r="Q163" i="7"/>
  <c r="Q157" i="7"/>
  <c r="Q153" i="7"/>
  <c r="Q148" i="7"/>
  <c r="Q143" i="7"/>
  <c r="Q132" i="7"/>
  <c r="Q131" i="7" s="1"/>
  <c r="Q127" i="7"/>
  <c r="Q123" i="7"/>
  <c r="Q118" i="7"/>
  <c r="Q113" i="7"/>
  <c r="Q102" i="7"/>
  <c r="Q101" i="7" s="1"/>
  <c r="Q97" i="7"/>
  <c r="Q93" i="7"/>
  <c r="Q83" i="7"/>
  <c r="Q72" i="7"/>
  <c r="Q71" i="7" s="1"/>
  <c r="Q67" i="7"/>
  <c r="Q63" i="7"/>
  <c r="Q58" i="7"/>
  <c r="Q53" i="7"/>
  <c r="Q42" i="7"/>
  <c r="Q41" i="7" s="1"/>
  <c r="Q37" i="7"/>
  <c r="Q32" i="7"/>
  <c r="Q26" i="7"/>
  <c r="Q21" i="7"/>
  <c r="Q10" i="7"/>
  <c r="Q9" i="7" s="1"/>
  <c r="P51" i="19"/>
  <c r="O157" i="7"/>
  <c r="O127" i="7"/>
  <c r="O97" i="7"/>
  <c r="O67" i="7"/>
  <c r="O37" i="7"/>
  <c r="AI31" i="30" l="1"/>
  <c r="AJ24" i="30"/>
  <c r="Q130" i="7"/>
  <c r="Q156" i="7" s="1"/>
  <c r="Q70" i="7"/>
  <c r="Q96" i="7" s="1"/>
  <c r="Q40" i="7"/>
  <c r="Q66" i="7" s="1"/>
  <c r="Q100" i="7"/>
  <c r="Q126" i="7" s="1"/>
  <c r="P155" i="3"/>
  <c r="P153" i="3" s="1"/>
  <c r="O74" i="11" s="1"/>
  <c r="P109" i="3"/>
  <c r="P157" i="3"/>
  <c r="O75" i="11"/>
  <c r="O27" i="14"/>
  <c r="Q184" i="7"/>
  <c r="Q178" i="7"/>
  <c r="Q162" i="7"/>
  <c r="Q161" i="7" s="1"/>
  <c r="P38" i="22"/>
  <c r="P144" i="3"/>
  <c r="P139" i="3" s="1"/>
  <c r="O73" i="11"/>
  <c r="P31" i="3"/>
  <c r="R23" i="23"/>
  <c r="P135" i="3"/>
  <c r="P83" i="3"/>
  <c r="Q50" i="19"/>
  <c r="Q58" i="19" s="1"/>
  <c r="Q59" i="19" s="1"/>
  <c r="AD33" i="30"/>
  <c r="AD36" i="30" s="1"/>
  <c r="N33" i="30"/>
  <c r="N36" i="30" s="1"/>
  <c r="P57" i="3"/>
  <c r="Q8" i="7"/>
  <c r="Q36" i="7" s="1"/>
  <c r="Q173" i="7"/>
  <c r="O177" i="7"/>
  <c r="O176" i="7"/>
  <c r="O175" i="7"/>
  <c r="O174" i="7"/>
  <c r="P177" i="7"/>
  <c r="P176" i="7"/>
  <c r="P175" i="7"/>
  <c r="P174" i="7"/>
  <c r="P143" i="7"/>
  <c r="O143" i="7"/>
  <c r="O130" i="7" s="1"/>
  <c r="P113" i="7"/>
  <c r="O113" i="7"/>
  <c r="O100" i="7" s="1"/>
  <c r="P83" i="7"/>
  <c r="O83" i="7"/>
  <c r="O70" i="7" s="1"/>
  <c r="P53" i="7"/>
  <c r="O53" i="7"/>
  <c r="O40" i="7" s="1"/>
  <c r="P42" i="7"/>
  <c r="P41" i="7" s="1"/>
  <c r="O21" i="7"/>
  <c r="P21" i="7"/>
  <c r="P150" i="3" l="1"/>
  <c r="P163" i="3" s="1"/>
  <c r="Q160" i="7"/>
  <c r="Q190" i="7" s="1"/>
  <c r="Q62" i="19"/>
  <c r="O173" i="7"/>
  <c r="P40" i="7"/>
  <c r="P173" i="7"/>
  <c r="Q193" i="7" l="1"/>
  <c r="O147" i="3"/>
  <c r="P185" i="7"/>
  <c r="N35" i="22"/>
  <c r="P20" i="23" l="1"/>
  <c r="Q20" i="23"/>
  <c r="O35" i="22"/>
  <c r="N40" i="11" l="1"/>
  <c r="P10" i="7" l="1"/>
  <c r="P41" i="19"/>
  <c r="P26" i="19"/>
  <c r="O152" i="3" l="1"/>
  <c r="Q23" i="23" s="1"/>
  <c r="O151" i="3"/>
  <c r="O38" i="22" s="1"/>
  <c r="P45" i="19"/>
  <c r="P42" i="19"/>
  <c r="P7" i="19"/>
  <c r="N10" i="14"/>
  <c r="N24" i="14" s="1"/>
  <c r="N62" i="11"/>
  <c r="M62" i="11"/>
  <c r="N52" i="11"/>
  <c r="M52" i="11"/>
  <c r="N41" i="11"/>
  <c r="M41" i="11"/>
  <c r="O136" i="3"/>
  <c r="N136" i="3"/>
  <c r="O110" i="3"/>
  <c r="N110" i="3"/>
  <c r="O84" i="3"/>
  <c r="N84" i="3"/>
  <c r="O58" i="3"/>
  <c r="N58" i="3"/>
  <c r="N32" i="3"/>
  <c r="P188" i="7"/>
  <c r="P187" i="7"/>
  <c r="P183" i="7"/>
  <c r="P182" i="7"/>
  <c r="P181" i="7"/>
  <c r="P180" i="7"/>
  <c r="P179" i="7"/>
  <c r="P172" i="7"/>
  <c r="P171" i="7"/>
  <c r="P170" i="7"/>
  <c r="P169" i="7"/>
  <c r="P168" i="7"/>
  <c r="P167" i="7"/>
  <c r="P166" i="7"/>
  <c r="P165" i="7"/>
  <c r="P164" i="7"/>
  <c r="P163" i="7"/>
  <c r="P153" i="7"/>
  <c r="P148" i="7"/>
  <c r="P132" i="7"/>
  <c r="P131" i="7" s="1"/>
  <c r="P130" i="7" s="1"/>
  <c r="P123" i="7"/>
  <c r="P118" i="7"/>
  <c r="P102" i="7"/>
  <c r="P101" i="7" s="1"/>
  <c r="P100" i="7" s="1"/>
  <c r="P93" i="7"/>
  <c r="P72" i="7"/>
  <c r="P71" i="7" s="1"/>
  <c r="P70" i="7" s="1"/>
  <c r="P63" i="7"/>
  <c r="P58" i="7"/>
  <c r="P32" i="7"/>
  <c r="P26" i="7"/>
  <c r="P9" i="7"/>
  <c r="P8" i="7" s="1"/>
  <c r="P50" i="19" l="1"/>
  <c r="P58" i="19" s="1"/>
  <c r="P59" i="19" s="1"/>
  <c r="P162" i="7"/>
  <c r="P161" i="7" s="1"/>
  <c r="P160" i="7" s="1"/>
  <c r="P36" i="7"/>
  <c r="P178" i="7"/>
  <c r="P184" i="7"/>
  <c r="P156" i="7"/>
  <c r="P126" i="7"/>
  <c r="P96" i="7"/>
  <c r="P66" i="7"/>
  <c r="O26" i="19"/>
  <c r="O42" i="19"/>
  <c r="I27" i="15"/>
  <c r="I22" i="15"/>
  <c r="M10" i="14"/>
  <c r="M24" i="14" s="1"/>
  <c r="N69" i="11"/>
  <c r="N60" i="11"/>
  <c r="N51" i="11"/>
  <c r="N73" i="11" s="1"/>
  <c r="O146" i="3"/>
  <c r="O145" i="3"/>
  <c r="O149" i="3"/>
  <c r="O148" i="3"/>
  <c r="O161" i="3"/>
  <c r="O162" i="3" s="1"/>
  <c r="O160" i="3"/>
  <c r="O159" i="3"/>
  <c r="O158" i="3"/>
  <c r="O156" i="3"/>
  <c r="O154" i="3"/>
  <c r="O141" i="3"/>
  <c r="O142" i="3"/>
  <c r="O143" i="3"/>
  <c r="O140" i="3"/>
  <c r="O131" i="3"/>
  <c r="O127" i="3"/>
  <c r="O124" i="3" s="1"/>
  <c r="O118" i="3"/>
  <c r="O113" i="3" s="1"/>
  <c r="O105" i="3"/>
  <c r="O101" i="3"/>
  <c r="O98" i="3" s="1"/>
  <c r="O92" i="3"/>
  <c r="O87" i="3" s="1"/>
  <c r="O79" i="3"/>
  <c r="O75" i="3"/>
  <c r="O72" i="3" s="1"/>
  <c r="O66" i="3"/>
  <c r="O61" i="3" s="1"/>
  <c r="O53" i="3"/>
  <c r="O49" i="3"/>
  <c r="O46" i="3" s="1"/>
  <c r="O40" i="3"/>
  <c r="O35" i="3" s="1"/>
  <c r="O22" i="3"/>
  <c r="O19" i="3" s="1"/>
  <c r="O26" i="3"/>
  <c r="O13" i="3"/>
  <c r="O8" i="3" s="1"/>
  <c r="N75" i="11" l="1"/>
  <c r="N27" i="14"/>
  <c r="P62" i="19"/>
  <c r="P190" i="7"/>
  <c r="O155" i="3"/>
  <c r="O153" i="3" s="1"/>
  <c r="N74" i="11" s="1"/>
  <c r="O83" i="3"/>
  <c r="O57" i="3"/>
  <c r="O135" i="3"/>
  <c r="O144" i="3"/>
  <c r="O139" i="3" s="1"/>
  <c r="O157" i="3"/>
  <c r="O109" i="3"/>
  <c r="O31" i="3"/>
  <c r="O150" i="3" l="1"/>
  <c r="O187" i="7"/>
  <c r="O189" i="7" s="1"/>
  <c r="O163" i="3" l="1"/>
  <c r="P193" i="7" l="1"/>
  <c r="G98" i="3" l="1"/>
  <c r="AB30" i="30"/>
  <c r="AB23" i="30"/>
  <c r="N156" i="3" l="1"/>
  <c r="N154" i="3"/>
  <c r="N152" i="3"/>
  <c r="L22" i="30" s="1"/>
  <c r="N151" i="3"/>
  <c r="L21" i="30" s="1"/>
  <c r="N149" i="3"/>
  <c r="N148" i="3"/>
  <c r="N147" i="3"/>
  <c r="N143" i="3"/>
  <c r="L13" i="30" s="1"/>
  <c r="N142" i="3"/>
  <c r="L12" i="30" s="1"/>
  <c r="N141" i="3"/>
  <c r="L11" i="30" s="1"/>
  <c r="N140" i="3"/>
  <c r="L10" i="30" s="1"/>
  <c r="N87" i="3"/>
  <c r="N98" i="3"/>
  <c r="N113" i="3"/>
  <c r="N135" i="3" s="1"/>
  <c r="H130" i="7"/>
  <c r="N109" i="3" l="1"/>
  <c r="N153" i="3"/>
  <c r="L23" i="30" s="1"/>
  <c r="L28" i="30" s="1"/>
  <c r="L32" i="30" s="1"/>
  <c r="N144" i="3"/>
  <c r="L14" i="30" s="1"/>
  <c r="F10" i="14"/>
  <c r="M60" i="11"/>
  <c r="L60" i="11"/>
  <c r="F60" i="11"/>
  <c r="M51" i="11"/>
  <c r="N150" i="3" l="1"/>
  <c r="N139" i="3"/>
  <c r="M69" i="11"/>
  <c r="M40" i="11"/>
  <c r="O41" i="19" l="1"/>
  <c r="O51" i="19"/>
  <c r="O45" i="19"/>
  <c r="N61" i="3"/>
  <c r="O50" i="19" l="1"/>
  <c r="O7" i="19"/>
  <c r="N160" i="3"/>
  <c r="L15" i="30" s="1"/>
  <c r="L18" i="30" s="1"/>
  <c r="L20" i="30" s="1"/>
  <c r="L33" i="30" s="1"/>
  <c r="O58" i="19" l="1"/>
  <c r="O59" i="19" s="1"/>
  <c r="N157" i="3"/>
  <c r="N163" i="3" s="1"/>
  <c r="N13" i="3"/>
  <c r="N8" i="3" s="1"/>
  <c r="N19" i="3"/>
  <c r="N26" i="3"/>
  <c r="N46" i="3"/>
  <c r="N35" i="3"/>
  <c r="O181" i="7"/>
  <c r="AB22" i="30" s="1"/>
  <c r="O172" i="7"/>
  <c r="AB12" i="30" s="1"/>
  <c r="O184" i="7"/>
  <c r="O182" i="7"/>
  <c r="AB27" i="30" s="1"/>
  <c r="O170" i="7"/>
  <c r="O171" i="7"/>
  <c r="AB11" i="30" s="1"/>
  <c r="O166" i="7"/>
  <c r="O165" i="7"/>
  <c r="O164" i="7"/>
  <c r="O163" i="7"/>
  <c r="O10" i="7"/>
  <c r="O162" i="7" l="1"/>
  <c r="O161" i="7" s="1"/>
  <c r="O160" i="7" s="1"/>
  <c r="AB28" i="30"/>
  <c r="AB32" i="30" s="1"/>
  <c r="O178" i="7"/>
  <c r="N57" i="3"/>
  <c r="N31" i="3"/>
  <c r="O9" i="7"/>
  <c r="O8" i="7" s="1"/>
  <c r="O153" i="7"/>
  <c r="O156" i="7" s="1"/>
  <c r="O123" i="7"/>
  <c r="O126" i="7" s="1"/>
  <c r="O93" i="7"/>
  <c r="O96" i="7" s="1"/>
  <c r="O63" i="7"/>
  <c r="AB10" i="30" l="1"/>
  <c r="O190" i="7"/>
  <c r="O66" i="7"/>
  <c r="O32" i="7"/>
  <c r="O26" i="7"/>
  <c r="AB18" i="30" l="1"/>
  <c r="AB20" i="30" s="1"/>
  <c r="AB33" i="30" s="1"/>
  <c r="O36" i="7"/>
  <c r="X32" i="30" l="1"/>
  <c r="AA30" i="30"/>
  <c r="Z30" i="30"/>
  <c r="U30" i="30"/>
  <c r="AA29" i="30"/>
  <c r="Z29" i="30"/>
  <c r="W28" i="30"/>
  <c r="W32" i="30" s="1"/>
  <c r="V28" i="30"/>
  <c r="V32" i="30" s="1"/>
  <c r="T28" i="30"/>
  <c r="T32" i="30" s="1"/>
  <c r="S28" i="30"/>
  <c r="S32" i="30" s="1"/>
  <c r="F28" i="30"/>
  <c r="F32" i="30" s="1"/>
  <c r="D28" i="30"/>
  <c r="C28" i="30"/>
  <c r="C32" i="30" s="1"/>
  <c r="Z27" i="30"/>
  <c r="U27" i="30"/>
  <c r="AA23" i="30"/>
  <c r="J23" i="30"/>
  <c r="E23" i="30"/>
  <c r="AA22" i="30"/>
  <c r="Z22" i="30"/>
  <c r="X22" i="30"/>
  <c r="E22" i="30"/>
  <c r="G22" i="30" s="1"/>
  <c r="U21" i="30"/>
  <c r="E21" i="30"/>
  <c r="G21" i="30" s="1"/>
  <c r="V18" i="30"/>
  <c r="V20" i="30" s="1"/>
  <c r="T18" i="30"/>
  <c r="T20" i="30" s="1"/>
  <c r="S18" i="30"/>
  <c r="S20" i="30" s="1"/>
  <c r="F18" i="30"/>
  <c r="D18" i="30"/>
  <c r="D20" i="30" s="1"/>
  <c r="C18" i="30"/>
  <c r="G16" i="30"/>
  <c r="J15" i="30"/>
  <c r="E15" i="30"/>
  <c r="G15" i="30" s="1"/>
  <c r="E14" i="30"/>
  <c r="G14" i="30" s="1"/>
  <c r="J13" i="30"/>
  <c r="E13" i="30"/>
  <c r="G13" i="30" s="1"/>
  <c r="U12" i="30"/>
  <c r="E12" i="30"/>
  <c r="G12" i="30" s="1"/>
  <c r="U11" i="30"/>
  <c r="W11" i="30" s="1"/>
  <c r="E11" i="30"/>
  <c r="G11" i="30" s="1"/>
  <c r="U10" i="30"/>
  <c r="E10" i="30"/>
  <c r="G10" i="30" s="1"/>
  <c r="F33" i="30" l="1"/>
  <c r="C33" i="30"/>
  <c r="C20" i="30"/>
  <c r="S33" i="30"/>
  <c r="D33" i="30"/>
  <c r="F20" i="30"/>
  <c r="T33" i="30"/>
  <c r="AA28" i="30"/>
  <c r="AA32" i="30" s="1"/>
  <c r="E28" i="30"/>
  <c r="E32" i="30" s="1"/>
  <c r="U18" i="30"/>
  <c r="U20" i="30" s="1"/>
  <c r="W20" i="30" s="1"/>
  <c r="W33" i="30" s="1"/>
  <c r="G23" i="30"/>
  <c r="G28" i="30" s="1"/>
  <c r="G32" i="30" s="1"/>
  <c r="W10" i="30"/>
  <c r="W18" i="30" s="1"/>
  <c r="U28" i="30"/>
  <c r="U32" i="30" s="1"/>
  <c r="E18" i="30"/>
  <c r="E20" i="30" s="1"/>
  <c r="V33" i="30"/>
  <c r="D32" i="30"/>
  <c r="E33" i="30" l="1"/>
  <c r="G18" i="30"/>
  <c r="G20" i="30" s="1"/>
  <c r="U33" i="30"/>
  <c r="G33" i="30" l="1"/>
  <c r="J20" i="23" l="1"/>
  <c r="H20" i="23"/>
  <c r="G20" i="23"/>
  <c r="F20" i="23"/>
  <c r="E20" i="23"/>
  <c r="D20" i="23"/>
  <c r="M12" i="23"/>
  <c r="O12" i="23" s="1"/>
  <c r="K20" i="23"/>
  <c r="N20" i="23"/>
  <c r="M11" i="23"/>
  <c r="O11" i="23" s="1"/>
  <c r="M10" i="23"/>
  <c r="O10" i="23" s="1"/>
  <c r="H35" i="22"/>
  <c r="G35" i="22"/>
  <c r="F35" i="22"/>
  <c r="E35" i="22"/>
  <c r="L35" i="22"/>
  <c r="I20" i="22"/>
  <c r="K20" i="22" s="1"/>
  <c r="M20" i="22" s="1"/>
  <c r="I17" i="22"/>
  <c r="K17" i="22" s="1"/>
  <c r="M17" i="22" s="1"/>
  <c r="J16" i="22"/>
  <c r="J35" i="22" s="1"/>
  <c r="I16" i="22"/>
  <c r="I15" i="22"/>
  <c r="K15" i="22" s="1"/>
  <c r="M15" i="22" s="1"/>
  <c r="I14" i="22"/>
  <c r="K14" i="22" s="1"/>
  <c r="M14" i="22" s="1"/>
  <c r="I20" i="23" l="1"/>
  <c r="K16" i="22"/>
  <c r="M16" i="22" s="1"/>
  <c r="I35" i="22"/>
  <c r="L20" i="23"/>
  <c r="K69" i="11"/>
  <c r="K40" i="11"/>
  <c r="L40" i="11"/>
  <c r="M45" i="19"/>
  <c r="M16" i="19"/>
  <c r="N55" i="19"/>
  <c r="N56" i="19"/>
  <c r="N57" i="19"/>
  <c r="M51" i="19"/>
  <c r="M50" i="19"/>
  <c r="M42" i="19"/>
  <c r="M41" i="19"/>
  <c r="N15" i="19"/>
  <c r="M12" i="19"/>
  <c r="M7" i="19"/>
  <c r="M11" i="19" l="1"/>
  <c r="O20" i="23"/>
  <c r="M20" i="23"/>
  <c r="K35" i="22"/>
  <c r="M35" i="22"/>
  <c r="M58" i="19"/>
  <c r="M59" i="19" s="1"/>
  <c r="L11" i="3"/>
  <c r="L20" i="3"/>
  <c r="L151" i="3" s="1"/>
  <c r="J21" i="30" s="1"/>
  <c r="L17" i="3"/>
  <c r="L148" i="3" s="1"/>
  <c r="L38" i="3"/>
  <c r="L30" i="3"/>
  <c r="L21" i="3"/>
  <c r="L152" i="3" s="1"/>
  <c r="J22" i="30" s="1"/>
  <c r="L10" i="3"/>
  <c r="L141" i="3" s="1"/>
  <c r="J11" i="30" s="1"/>
  <c r="L9" i="3"/>
  <c r="L140" i="3" s="1"/>
  <c r="J10" i="30" s="1"/>
  <c r="L142" i="3" l="1"/>
  <c r="J12" i="30" s="1"/>
  <c r="J28" i="30"/>
  <c r="J32" i="30" s="1"/>
  <c r="N15" i="7"/>
  <c r="N16" i="7"/>
  <c r="N17" i="7"/>
  <c r="M11" i="7"/>
  <c r="M41" i="7"/>
  <c r="M65" i="7"/>
  <c r="M37" i="3" l="1"/>
  <c r="M36" i="3"/>
  <c r="L46" i="3"/>
  <c r="L35" i="3"/>
  <c r="L161" i="3"/>
  <c r="K23" i="14"/>
  <c r="M156" i="3"/>
  <c r="L150" i="3"/>
  <c r="L149" i="3"/>
  <c r="L57" i="3" l="1"/>
  <c r="K24" i="14"/>
  <c r="L162" i="3"/>
  <c r="L157" i="3"/>
  <c r="N167" i="7"/>
  <c r="M187" i="7"/>
  <c r="M184" i="7" s="1"/>
  <c r="M100" i="7"/>
  <c r="M123" i="7"/>
  <c r="M164" i="7"/>
  <c r="M163" i="7"/>
  <c r="M63" i="7"/>
  <c r="M40" i="7"/>
  <c r="L26" i="3"/>
  <c r="M29" i="3"/>
  <c r="M28" i="3"/>
  <c r="M27" i="3"/>
  <c r="M25" i="3"/>
  <c r="M24" i="3"/>
  <c r="M18" i="3"/>
  <c r="L19" i="3"/>
  <c r="N26" i="7"/>
  <c r="N178" i="7" s="1"/>
  <c r="M32" i="7"/>
  <c r="N32" i="7"/>
  <c r="L16" i="3"/>
  <c r="L147" i="3" s="1"/>
  <c r="L13" i="3" l="1"/>
  <c r="L144" i="3" s="1"/>
  <c r="J14" i="30" s="1"/>
  <c r="J18" i="30" s="1"/>
  <c r="J33" i="30" s="1"/>
  <c r="M126" i="7"/>
  <c r="M66" i="7"/>
  <c r="N20" i="7"/>
  <c r="M14" i="7"/>
  <c r="M166" i="7" s="1"/>
  <c r="M13" i="7"/>
  <c r="M18" i="7"/>
  <c r="M170" i="7" s="1"/>
  <c r="L8" i="3" l="1"/>
  <c r="L31" i="3" s="1"/>
  <c r="L139" i="3"/>
  <c r="L163" i="3" s="1"/>
  <c r="J20" i="30"/>
  <c r="M165" i="7"/>
  <c r="M162" i="7" s="1"/>
  <c r="M10" i="7"/>
  <c r="M9" i="7" s="1"/>
  <c r="L87" i="3"/>
  <c r="L109" i="3" s="1"/>
  <c r="M31" i="7"/>
  <c r="M19" i="7"/>
  <c r="M171" i="7" s="1"/>
  <c r="Z11" i="30" s="1"/>
  <c r="L61" i="3"/>
  <c r="L83" i="3" s="1"/>
  <c r="M183" i="7" l="1"/>
  <c r="Z23" i="30" s="1"/>
  <c r="Z28" i="30" s="1"/>
  <c r="M26" i="7"/>
  <c r="M161" i="7"/>
  <c r="Z10" i="30" s="1"/>
  <c r="Z18" i="30" s="1"/>
  <c r="Z20" i="30" s="1"/>
  <c r="Z33" i="30" s="1"/>
  <c r="M8" i="7"/>
  <c r="J11" i="3"/>
  <c r="K11" i="3" s="1"/>
  <c r="M11" i="3" s="1"/>
  <c r="J17" i="3"/>
  <c r="J20" i="3"/>
  <c r="J21" i="3"/>
  <c r="M160" i="7" l="1"/>
  <c r="M178" i="7"/>
  <c r="M36" i="7"/>
  <c r="L49" i="19"/>
  <c r="N49" i="19" s="1"/>
  <c r="I50" i="19"/>
  <c r="M190" i="7" l="1"/>
  <c r="K51" i="19"/>
  <c r="K22" i="19"/>
  <c r="K26" i="19" s="1"/>
  <c r="K16" i="19"/>
  <c r="I16" i="19"/>
  <c r="J23" i="19"/>
  <c r="J24" i="19"/>
  <c r="J28" i="19"/>
  <c r="J29" i="19"/>
  <c r="J30" i="19"/>
  <c r="J31" i="19"/>
  <c r="J32" i="19"/>
  <c r="J33" i="19"/>
  <c r="J34" i="19"/>
  <c r="J36" i="19"/>
  <c r="J38" i="19"/>
  <c r="J39" i="19"/>
  <c r="J40" i="19"/>
  <c r="J43" i="19"/>
  <c r="J44" i="19"/>
  <c r="J46" i="19"/>
  <c r="J47" i="19"/>
  <c r="J48" i="19"/>
  <c r="J52" i="19"/>
  <c r="J53" i="19"/>
  <c r="I22" i="19"/>
  <c r="I26" i="19" s="1"/>
  <c r="I42" i="19"/>
  <c r="K42" i="19"/>
  <c r="I41" i="19"/>
  <c r="K41" i="19"/>
  <c r="K50" i="19"/>
  <c r="L15" i="19"/>
  <c r="J51" i="19" l="1"/>
  <c r="J42" i="19"/>
  <c r="J41" i="19"/>
  <c r="L37" i="19"/>
  <c r="N37" i="19" s="1"/>
  <c r="K7" i="19"/>
  <c r="K58" i="19" s="1"/>
  <c r="K59" i="19" s="1"/>
  <c r="H7" i="19"/>
  <c r="I7" i="19"/>
  <c r="I58" i="19" s="1"/>
  <c r="L35" i="19" l="1"/>
  <c r="N35" i="19" s="1"/>
  <c r="F187" i="7"/>
  <c r="H187" i="7"/>
  <c r="J187" i="7" s="1"/>
  <c r="K162" i="3"/>
  <c r="M162" i="3" s="1"/>
  <c r="L27" i="19" l="1"/>
  <c r="J22" i="19"/>
  <c r="I59" i="19" l="1"/>
  <c r="L53" i="19"/>
  <c r="N53" i="19" s="1"/>
  <c r="H51" i="19"/>
  <c r="G51" i="19"/>
  <c r="L48" i="19"/>
  <c r="N48" i="19" s="1"/>
  <c r="L47" i="19"/>
  <c r="N47" i="19" s="1"/>
  <c r="L46" i="19"/>
  <c r="H45" i="19"/>
  <c r="J45" i="19" s="1"/>
  <c r="G45" i="19"/>
  <c r="L44" i="19"/>
  <c r="N44" i="19" s="1"/>
  <c r="H42" i="19"/>
  <c r="G42" i="19"/>
  <c r="H41" i="19"/>
  <c r="G41" i="19"/>
  <c r="L40" i="19"/>
  <c r="N40" i="19" s="1"/>
  <c r="L39" i="19"/>
  <c r="N39" i="19" s="1"/>
  <c r="L38" i="19"/>
  <c r="N38" i="19" s="1"/>
  <c r="L36" i="19"/>
  <c r="N36" i="19" s="1"/>
  <c r="L34" i="19"/>
  <c r="N34" i="19" s="1"/>
  <c r="L33" i="19"/>
  <c r="N33" i="19" s="1"/>
  <c r="L32" i="19"/>
  <c r="N32" i="19" s="1"/>
  <c r="L31" i="19"/>
  <c r="N31" i="19" s="1"/>
  <c r="L30" i="19"/>
  <c r="N30" i="19" s="1"/>
  <c r="L29" i="19"/>
  <c r="N29" i="19" s="1"/>
  <c r="L24" i="19"/>
  <c r="N24" i="19" s="1"/>
  <c r="L23" i="19"/>
  <c r="H22" i="19"/>
  <c r="G22" i="19"/>
  <c r="J21" i="19"/>
  <c r="L21" i="19" s="1"/>
  <c r="N21" i="19" s="1"/>
  <c r="J20" i="19"/>
  <c r="L20" i="19" s="1"/>
  <c r="N20" i="19" s="1"/>
  <c r="J18" i="19"/>
  <c r="L18" i="19" s="1"/>
  <c r="N18" i="19" s="1"/>
  <c r="J17" i="19"/>
  <c r="H16" i="19"/>
  <c r="G16" i="19"/>
  <c r="J14" i="19"/>
  <c r="L14" i="19" s="1"/>
  <c r="N14" i="19" s="1"/>
  <c r="J13" i="19"/>
  <c r="L13" i="19" s="1"/>
  <c r="N13" i="19" s="1"/>
  <c r="H12" i="19"/>
  <c r="G12" i="19"/>
  <c r="J9" i="19"/>
  <c r="L9" i="19" s="1"/>
  <c r="N9" i="19" s="1"/>
  <c r="J8" i="19"/>
  <c r="G7" i="19"/>
  <c r="G11" i="19" l="1"/>
  <c r="G26" i="19" s="1"/>
  <c r="H11" i="19"/>
  <c r="J11" i="19" s="1"/>
  <c r="N46" i="19"/>
  <c r="N45" i="19" s="1"/>
  <c r="L45" i="19"/>
  <c r="L22" i="19"/>
  <c r="N22" i="19" s="1"/>
  <c r="N23" i="19"/>
  <c r="L17" i="19"/>
  <c r="J16" i="19"/>
  <c r="L43" i="19"/>
  <c r="L8" i="19"/>
  <c r="J7" i="19"/>
  <c r="L28" i="19"/>
  <c r="L52" i="19"/>
  <c r="G50" i="19"/>
  <c r="J12" i="19"/>
  <c r="L12" i="19" s="1"/>
  <c r="H50" i="19"/>
  <c r="J50" i="19" s="1"/>
  <c r="N12" i="19" l="1"/>
  <c r="L16" i="19"/>
  <c r="L11" i="19" s="1"/>
  <c r="N17" i="19"/>
  <c r="N16" i="19" s="1"/>
  <c r="L7" i="19"/>
  <c r="N8" i="19"/>
  <c r="N7" i="19" s="1"/>
  <c r="L51" i="19"/>
  <c r="N52" i="19"/>
  <c r="N51" i="19" s="1"/>
  <c r="L42" i="19"/>
  <c r="N43" i="19"/>
  <c r="N42" i="19" s="1"/>
  <c r="L41" i="19"/>
  <c r="N28" i="19"/>
  <c r="N41" i="19" s="1"/>
  <c r="J26" i="19"/>
  <c r="H26" i="19"/>
  <c r="H58" i="19" s="1"/>
  <c r="H59" i="19" s="1"/>
  <c r="G58" i="19"/>
  <c r="G59" i="19" s="1"/>
  <c r="N11" i="19" l="1"/>
  <c r="N50" i="19"/>
  <c r="L50" i="19"/>
  <c r="L26" i="19"/>
  <c r="J58" i="19"/>
  <c r="J59" i="19" s="1"/>
  <c r="N26" i="19" l="1"/>
  <c r="N58" i="19" s="1"/>
  <c r="N59" i="19" s="1"/>
  <c r="L58" i="19"/>
  <c r="L59" i="19" s="1"/>
  <c r="J11" i="14"/>
  <c r="L11" i="14" s="1"/>
  <c r="H23" i="14" l="1"/>
  <c r="H10" i="14"/>
  <c r="G10" i="14"/>
  <c r="G24" i="14" s="1"/>
  <c r="F24" i="14"/>
  <c r="E10" i="14"/>
  <c r="E24" i="14" s="1"/>
  <c r="D10" i="14"/>
  <c r="D24" i="14" s="1"/>
  <c r="H24" i="14" l="1"/>
  <c r="J10" i="14"/>
  <c r="L10" i="14" s="1"/>
  <c r="J47" i="11" l="1"/>
  <c r="L47" i="11" s="1"/>
  <c r="J40" i="11"/>
  <c r="I14" i="11"/>
  <c r="I15" i="11"/>
  <c r="I17" i="11"/>
  <c r="I18" i="11"/>
  <c r="I19" i="11"/>
  <c r="I20" i="11"/>
  <c r="I21" i="11"/>
  <c r="I22" i="11"/>
  <c r="I23" i="11"/>
  <c r="F40" i="11"/>
  <c r="E40" i="11"/>
  <c r="D40" i="11"/>
  <c r="J68" i="11"/>
  <c r="L68" i="11" s="1"/>
  <c r="J65" i="11"/>
  <c r="L65" i="11" s="1"/>
  <c r="I40" i="11" l="1"/>
  <c r="J10" i="3"/>
  <c r="K155" i="7" l="1"/>
  <c r="J145" i="3"/>
  <c r="G153" i="3" l="1"/>
  <c r="K171" i="7"/>
  <c r="X11" i="30" s="1"/>
  <c r="J16" i="3"/>
  <c r="J9" i="3"/>
  <c r="K18" i="7"/>
  <c r="K14" i="7"/>
  <c r="K13" i="7"/>
  <c r="K11" i="7"/>
  <c r="K12" i="7"/>
  <c r="J16" i="7"/>
  <c r="K10" i="7" l="1"/>
  <c r="K9" i="7" s="1"/>
  <c r="K170" i="7"/>
  <c r="H140" i="3" l="1"/>
  <c r="J154" i="3"/>
  <c r="J148" i="3"/>
  <c r="I23" i="14" s="1"/>
  <c r="J147" i="3"/>
  <c r="J146" i="3"/>
  <c r="J143" i="3"/>
  <c r="H13" i="30" s="1"/>
  <c r="I26" i="7"/>
  <c r="I24" i="14" l="1"/>
  <c r="J23" i="14"/>
  <c r="J157" i="3"/>
  <c r="L189" i="7"/>
  <c r="L188" i="7"/>
  <c r="I184" i="7"/>
  <c r="I178" i="7"/>
  <c r="K178" i="7"/>
  <c r="I161" i="7"/>
  <c r="I171" i="7"/>
  <c r="K168" i="7"/>
  <c r="K167" i="7"/>
  <c r="K166" i="7"/>
  <c r="K165" i="7"/>
  <c r="K164" i="7"/>
  <c r="K163" i="7"/>
  <c r="J24" i="14" l="1"/>
  <c r="L23" i="14"/>
  <c r="L24" i="14" s="1"/>
  <c r="K162" i="7"/>
  <c r="K14" i="3"/>
  <c r="G13" i="3"/>
  <c r="G8" i="3" s="1"/>
  <c r="G26" i="3"/>
  <c r="J19" i="3"/>
  <c r="G19" i="3"/>
  <c r="H19" i="3"/>
  <c r="I10" i="7"/>
  <c r="I9" i="7" s="1"/>
  <c r="I8" i="7" s="1"/>
  <c r="H10" i="7"/>
  <c r="G31" i="3" l="1"/>
  <c r="K161" i="7"/>
  <c r="X10" i="30" s="1"/>
  <c r="X18" i="30" s="1"/>
  <c r="X20" i="30" s="1"/>
  <c r="X33" i="30" s="1"/>
  <c r="J87" i="3" l="1"/>
  <c r="J109" i="3" s="1"/>
  <c r="L101" i="7"/>
  <c r="K125" i="7"/>
  <c r="J125" i="3"/>
  <c r="J151" i="3" s="1"/>
  <c r="H21" i="30" s="1"/>
  <c r="J116" i="3"/>
  <c r="J142" i="3" s="1"/>
  <c r="H12" i="30" s="1"/>
  <c r="J115" i="3"/>
  <c r="J114" i="3"/>
  <c r="J61" i="3"/>
  <c r="J83" i="3" s="1"/>
  <c r="L70" i="7"/>
  <c r="L95" i="7"/>
  <c r="N95" i="7" s="1"/>
  <c r="K93" i="7"/>
  <c r="K96" i="7" s="1"/>
  <c r="J46" i="3"/>
  <c r="L100" i="7" l="1"/>
  <c r="N100" i="7" s="1"/>
  <c r="N101" i="7"/>
  <c r="K123" i="7"/>
  <c r="K126" i="7" s="1"/>
  <c r="K187" i="7"/>
  <c r="L187" i="7" s="1"/>
  <c r="J113" i="3"/>
  <c r="K153" i="7"/>
  <c r="K184" i="7" l="1"/>
  <c r="J135" i="3"/>
  <c r="K156" i="7"/>
  <c r="I44" i="11" l="1"/>
  <c r="I45" i="11"/>
  <c r="I46" i="11"/>
  <c r="I49" i="11"/>
  <c r="J51" i="11"/>
  <c r="J60" i="11"/>
  <c r="H60" i="11"/>
  <c r="H66" i="11"/>
  <c r="J66" i="11" s="1"/>
  <c r="L66" i="11" s="1"/>
  <c r="H40" i="11"/>
  <c r="I51" i="11" l="1"/>
  <c r="L51" i="11"/>
  <c r="I60" i="11"/>
  <c r="L32" i="7" l="1"/>
  <c r="L26" i="7"/>
  <c r="H26" i="7"/>
  <c r="J48" i="3"/>
  <c r="J152" i="3" s="1"/>
  <c r="H22" i="30" s="1"/>
  <c r="E60" i="11" l="1"/>
  <c r="D60" i="11"/>
  <c r="F51" i="11"/>
  <c r="D51" i="11"/>
  <c r="H67" i="11"/>
  <c r="J67" i="11" s="1"/>
  <c r="I66" i="7"/>
  <c r="G69" i="11"/>
  <c r="J69" i="11" l="1"/>
  <c r="L69" i="11" s="1"/>
  <c r="L67" i="11"/>
  <c r="I32" i="7"/>
  <c r="I36" i="7" s="1"/>
  <c r="H142" i="3" l="1"/>
  <c r="I142" i="3" s="1"/>
  <c r="H141" i="3"/>
  <c r="I141" i="3" s="1"/>
  <c r="H134" i="3"/>
  <c r="I134" i="3" s="1"/>
  <c r="H133" i="3"/>
  <c r="I133" i="3" s="1"/>
  <c r="H132" i="3"/>
  <c r="H130" i="3"/>
  <c r="I130" i="3" s="1"/>
  <c r="H129" i="3"/>
  <c r="I129" i="3" s="1"/>
  <c r="H128" i="3"/>
  <c r="H126" i="3"/>
  <c r="I126" i="3" s="1"/>
  <c r="I125" i="3"/>
  <c r="K125" i="3" s="1"/>
  <c r="K124" i="3" s="1"/>
  <c r="H123" i="3"/>
  <c r="I123" i="3" s="1"/>
  <c r="H122" i="3"/>
  <c r="I122" i="3" s="1"/>
  <c r="H121" i="3"/>
  <c r="H120" i="3"/>
  <c r="I120" i="3" s="1"/>
  <c r="H119" i="3"/>
  <c r="I119" i="3" s="1"/>
  <c r="H117" i="3"/>
  <c r="I117" i="3" s="1"/>
  <c r="I116" i="3"/>
  <c r="K116" i="3" s="1"/>
  <c r="I115" i="3"/>
  <c r="K115" i="3" s="1"/>
  <c r="M115" i="3" s="1"/>
  <c r="I114" i="3"/>
  <c r="H108" i="3"/>
  <c r="I108" i="3" s="1"/>
  <c r="K108" i="3" s="1"/>
  <c r="H107" i="3"/>
  <c r="I107" i="3" s="1"/>
  <c r="K107" i="3" s="1"/>
  <c r="H106" i="3"/>
  <c r="I106" i="3" s="1"/>
  <c r="K106" i="3" s="1"/>
  <c r="H104" i="3"/>
  <c r="I104" i="3" s="1"/>
  <c r="K104" i="3" s="1"/>
  <c r="H103" i="3"/>
  <c r="I103" i="3" s="1"/>
  <c r="K103" i="3" s="1"/>
  <c r="H102" i="3"/>
  <c r="I102" i="3" s="1"/>
  <c r="K102" i="3" s="1"/>
  <c r="H100" i="3"/>
  <c r="I100" i="3" s="1"/>
  <c r="K100" i="3" s="1"/>
  <c r="I99" i="3"/>
  <c r="K99" i="3" s="1"/>
  <c r="H97" i="3"/>
  <c r="I97" i="3" s="1"/>
  <c r="K97" i="3" s="1"/>
  <c r="H96" i="3"/>
  <c r="I96" i="3" s="1"/>
  <c r="K96" i="3" s="1"/>
  <c r="H95" i="3"/>
  <c r="I95" i="3" s="1"/>
  <c r="K95" i="3" s="1"/>
  <c r="H94" i="3"/>
  <c r="H93" i="3"/>
  <c r="H91" i="3"/>
  <c r="I91" i="3" s="1"/>
  <c r="K91" i="3" s="1"/>
  <c r="I90" i="3"/>
  <c r="K90" i="3" s="1"/>
  <c r="M90" i="3" s="1"/>
  <c r="I89" i="3"/>
  <c r="K89" i="3" s="1"/>
  <c r="M89" i="3" s="1"/>
  <c r="I88" i="3"/>
  <c r="K88" i="3" s="1"/>
  <c r="M88" i="3" s="1"/>
  <c r="H82" i="3"/>
  <c r="I82" i="3" s="1"/>
  <c r="H81" i="3"/>
  <c r="I81" i="3" s="1"/>
  <c r="H80" i="3"/>
  <c r="H78" i="3"/>
  <c r="I78" i="3" s="1"/>
  <c r="H77" i="3"/>
  <c r="I77" i="3" s="1"/>
  <c r="H76" i="3"/>
  <c r="H74" i="3"/>
  <c r="I74" i="3" s="1"/>
  <c r="H73" i="3"/>
  <c r="I73" i="3" s="1"/>
  <c r="H71" i="3"/>
  <c r="I71" i="3" s="1"/>
  <c r="H70" i="3"/>
  <c r="I70" i="3" s="1"/>
  <c r="H69" i="3"/>
  <c r="I69" i="3" s="1"/>
  <c r="H68" i="3"/>
  <c r="I68" i="3" s="1"/>
  <c r="H67" i="3"/>
  <c r="I67" i="3" s="1"/>
  <c r="H65" i="3"/>
  <c r="I65" i="3" s="1"/>
  <c r="I64" i="3"/>
  <c r="K64" i="3" s="1"/>
  <c r="I63" i="3"/>
  <c r="K63" i="3" s="1"/>
  <c r="M63" i="3" s="1"/>
  <c r="I62" i="3"/>
  <c r="K62" i="3" s="1"/>
  <c r="M62" i="3" s="1"/>
  <c r="H61" i="3"/>
  <c r="H56" i="3"/>
  <c r="I56" i="3" s="1"/>
  <c r="J56" i="3" s="1"/>
  <c r="H55" i="3"/>
  <c r="I55" i="3" s="1"/>
  <c r="J55" i="3" s="1"/>
  <c r="H54" i="3"/>
  <c r="H52" i="3"/>
  <c r="I52" i="3" s="1"/>
  <c r="J52" i="3" s="1"/>
  <c r="H51" i="3"/>
  <c r="I51" i="3" s="1"/>
  <c r="J51" i="3" s="1"/>
  <c r="H50" i="3"/>
  <c r="H48" i="3"/>
  <c r="H45" i="3"/>
  <c r="I45" i="3" s="1"/>
  <c r="J45" i="3" s="1"/>
  <c r="H44" i="3"/>
  <c r="I44" i="3" s="1"/>
  <c r="J44" i="3" s="1"/>
  <c r="H43" i="3"/>
  <c r="I43" i="3" s="1"/>
  <c r="J43" i="3" s="1"/>
  <c r="H42" i="3"/>
  <c r="I42" i="3" s="1"/>
  <c r="J42" i="3" s="1"/>
  <c r="H41" i="3"/>
  <c r="I41" i="3" s="1"/>
  <c r="J41" i="3" s="1"/>
  <c r="I39" i="3"/>
  <c r="J39" i="3" s="1"/>
  <c r="I38" i="3"/>
  <c r="I37" i="3"/>
  <c r="J141" i="3" s="1"/>
  <c r="H11" i="30" s="1"/>
  <c r="I36" i="3"/>
  <c r="I30" i="3"/>
  <c r="K30" i="3" s="1"/>
  <c r="M30" i="3" s="1"/>
  <c r="M26" i="3" s="1"/>
  <c r="H29" i="3"/>
  <c r="I29" i="3" s="1"/>
  <c r="H28" i="3"/>
  <c r="I28" i="3" s="1"/>
  <c r="J28" i="3" s="1"/>
  <c r="H27" i="3"/>
  <c r="I25" i="3"/>
  <c r="H24" i="3"/>
  <c r="I24" i="3" s="1"/>
  <c r="I21" i="3"/>
  <c r="K21" i="3" s="1"/>
  <c r="M21" i="3" s="1"/>
  <c r="I20" i="3"/>
  <c r="K20" i="3" s="1"/>
  <c r="M20" i="3" s="1"/>
  <c r="I18" i="3"/>
  <c r="J18" i="3" s="1"/>
  <c r="J149" i="3" s="1"/>
  <c r="I17" i="3"/>
  <c r="K17" i="3" s="1"/>
  <c r="M17" i="3" s="1"/>
  <c r="I16" i="3"/>
  <c r="K16" i="3" s="1"/>
  <c r="M16" i="3" s="1"/>
  <c r="I15" i="3"/>
  <c r="K15" i="3" s="1"/>
  <c r="I12" i="3"/>
  <c r="K12" i="3" s="1"/>
  <c r="M12" i="3" s="1"/>
  <c r="I10" i="3"/>
  <c r="K10" i="3" s="1"/>
  <c r="M10" i="3" s="1"/>
  <c r="M13" i="3" l="1"/>
  <c r="K141" i="3"/>
  <c r="K142" i="3"/>
  <c r="K38" i="3"/>
  <c r="M38" i="3" s="1"/>
  <c r="H13" i="3"/>
  <c r="H8" i="3" s="1"/>
  <c r="J144" i="3"/>
  <c r="H14" i="30" s="1"/>
  <c r="K114" i="3"/>
  <c r="M114" i="3" s="1"/>
  <c r="I27" i="3"/>
  <c r="H26" i="3"/>
  <c r="J35" i="3"/>
  <c r="J140" i="3"/>
  <c r="H10" i="30" s="1"/>
  <c r="H146" i="3"/>
  <c r="H49" i="3"/>
  <c r="H46" i="3" s="1"/>
  <c r="H147" i="3"/>
  <c r="H143" i="3"/>
  <c r="H152" i="3"/>
  <c r="H53" i="3"/>
  <c r="I53" i="3" s="1"/>
  <c r="J53" i="3" s="1"/>
  <c r="H66" i="3"/>
  <c r="I66" i="3" s="1"/>
  <c r="H75" i="3"/>
  <c r="I75" i="3" s="1"/>
  <c r="I94" i="3"/>
  <c r="K94" i="3" s="1"/>
  <c r="H118" i="3"/>
  <c r="I118" i="3" s="1"/>
  <c r="H156" i="3"/>
  <c r="I156" i="3" s="1"/>
  <c r="H160" i="3"/>
  <c r="H148" i="3"/>
  <c r="H155" i="3"/>
  <c r="I121" i="3"/>
  <c r="H145" i="3"/>
  <c r="H161" i="3"/>
  <c r="H40" i="3"/>
  <c r="H35" i="3" s="1"/>
  <c r="H92" i="3"/>
  <c r="I92" i="3" s="1"/>
  <c r="K92" i="3" s="1"/>
  <c r="H149" i="3"/>
  <c r="H158" i="3"/>
  <c r="H79" i="3"/>
  <c r="I79" i="3" s="1"/>
  <c r="H101" i="3"/>
  <c r="H98" i="3" s="1"/>
  <c r="H105" i="3"/>
  <c r="I105" i="3" s="1"/>
  <c r="K105" i="3" s="1"/>
  <c r="H127" i="3"/>
  <c r="H131" i="3"/>
  <c r="H151" i="3"/>
  <c r="H154" i="3"/>
  <c r="H159" i="3"/>
  <c r="I159" i="3" s="1"/>
  <c r="I128" i="3"/>
  <c r="I132" i="3"/>
  <c r="I93" i="3"/>
  <c r="K93" i="3" s="1"/>
  <c r="I76" i="3"/>
  <c r="I80" i="3"/>
  <c r="I50" i="3"/>
  <c r="J50" i="3" s="1"/>
  <c r="I54" i="3"/>
  <c r="J54" i="3" s="1"/>
  <c r="I22" i="3"/>
  <c r="I19" i="3" s="1"/>
  <c r="I9" i="3"/>
  <c r="K9" i="3" s="1"/>
  <c r="M9" i="3" s="1"/>
  <c r="I23" i="3"/>
  <c r="K23" i="3" s="1"/>
  <c r="M23" i="3" s="1"/>
  <c r="M8" i="3" l="1"/>
  <c r="H18" i="30"/>
  <c r="H20" i="30" s="1"/>
  <c r="I12" i="30"/>
  <c r="M142" i="3"/>
  <c r="K12" i="30" s="1"/>
  <c r="I11" i="30"/>
  <c r="M141" i="3"/>
  <c r="K11" i="30" s="1"/>
  <c r="H157" i="3"/>
  <c r="J139" i="3"/>
  <c r="J13" i="3"/>
  <c r="I13" i="3"/>
  <c r="I8" i="3" s="1"/>
  <c r="I127" i="3"/>
  <c r="H153" i="3"/>
  <c r="H150" i="3" s="1"/>
  <c r="H144" i="3"/>
  <c r="J27" i="3"/>
  <c r="I26" i="3"/>
  <c r="I140" i="3"/>
  <c r="K140" i="3" s="1"/>
  <c r="H31" i="3"/>
  <c r="I49" i="3"/>
  <c r="J49" i="3" s="1"/>
  <c r="J153" i="3" s="1"/>
  <c r="H23" i="30" s="1"/>
  <c r="H28" i="30" s="1"/>
  <c r="H72" i="3"/>
  <c r="I40" i="3"/>
  <c r="H113" i="3"/>
  <c r="H135" i="3" s="1"/>
  <c r="I101" i="3"/>
  <c r="K101" i="3" s="1"/>
  <c r="H87" i="3"/>
  <c r="H57" i="3"/>
  <c r="I10" i="30" l="1"/>
  <c r="M140" i="3"/>
  <c r="K10" i="30" s="1"/>
  <c r="H32" i="30"/>
  <c r="I32" i="30" s="1"/>
  <c r="H33" i="30"/>
  <c r="J150" i="3"/>
  <c r="J163" i="3" s="1"/>
  <c r="I153" i="3"/>
  <c r="K153" i="3" s="1"/>
  <c r="I23" i="30" s="1"/>
  <c r="H83" i="3"/>
  <c r="I35" i="3"/>
  <c r="K35" i="3" s="1"/>
  <c r="M35" i="3" s="1"/>
  <c r="J40" i="3"/>
  <c r="H109" i="3"/>
  <c r="H139" i="3"/>
  <c r="H163" i="3" s="1"/>
  <c r="I160" i="7"/>
  <c r="I190" i="7" s="1"/>
  <c r="J166" i="7"/>
  <c r="L166" i="7" s="1"/>
  <c r="J165" i="7"/>
  <c r="L165" i="7" s="1"/>
  <c r="J164" i="7"/>
  <c r="L164" i="7" s="1"/>
  <c r="J163" i="7"/>
  <c r="L163" i="7" s="1"/>
  <c r="J155" i="7"/>
  <c r="L155" i="7" s="1"/>
  <c r="N155" i="7" s="1"/>
  <c r="J154" i="7"/>
  <c r="I153" i="7"/>
  <c r="J152" i="7"/>
  <c r="J151" i="7"/>
  <c r="J150" i="7"/>
  <c r="J149" i="7"/>
  <c r="J148" i="7"/>
  <c r="J142" i="7"/>
  <c r="J141" i="7"/>
  <c r="J140" i="7"/>
  <c r="L140" i="7" s="1"/>
  <c r="J139" i="7"/>
  <c r="J138" i="7"/>
  <c r="J137" i="7"/>
  <c r="J136" i="7"/>
  <c r="J135" i="7"/>
  <c r="J134" i="7"/>
  <c r="J133" i="7"/>
  <c r="J132" i="7"/>
  <c r="J131" i="7"/>
  <c r="L131" i="7" s="1"/>
  <c r="J125" i="7"/>
  <c r="L125" i="7" s="1"/>
  <c r="J124" i="7"/>
  <c r="I123" i="7"/>
  <c r="J123" i="7" s="1"/>
  <c r="J122" i="7"/>
  <c r="J121" i="7"/>
  <c r="J120" i="7"/>
  <c r="J119" i="7"/>
  <c r="J118" i="7"/>
  <c r="J112" i="7"/>
  <c r="J111" i="7"/>
  <c r="J110" i="7"/>
  <c r="L110" i="7" s="1"/>
  <c r="N110" i="7" s="1"/>
  <c r="J109" i="7"/>
  <c r="J108" i="7"/>
  <c r="J107" i="7"/>
  <c r="J106" i="7"/>
  <c r="J105" i="7"/>
  <c r="J104" i="7"/>
  <c r="J94" i="7"/>
  <c r="I93" i="7"/>
  <c r="J92" i="7"/>
  <c r="J91" i="7"/>
  <c r="J90" i="7"/>
  <c r="J89" i="7"/>
  <c r="J88" i="7"/>
  <c r="J82" i="7"/>
  <c r="J81" i="7"/>
  <c r="J80" i="7"/>
  <c r="L80" i="7" s="1"/>
  <c r="J79" i="7"/>
  <c r="J78" i="7"/>
  <c r="J77" i="7"/>
  <c r="J76" i="7"/>
  <c r="J75" i="7"/>
  <c r="J74" i="7"/>
  <c r="J73" i="7"/>
  <c r="J72" i="7"/>
  <c r="J65" i="7"/>
  <c r="L65" i="7" s="1"/>
  <c r="J64" i="7"/>
  <c r="K64" i="7" s="1"/>
  <c r="K63" i="7" s="1"/>
  <c r="J62" i="7"/>
  <c r="K62" i="7" s="1"/>
  <c r="J61" i="7"/>
  <c r="K61" i="7" s="1"/>
  <c r="J60" i="7"/>
  <c r="K60" i="7" s="1"/>
  <c r="J59" i="7"/>
  <c r="K59" i="7" s="1"/>
  <c r="J52" i="7"/>
  <c r="K52" i="7" s="1"/>
  <c r="J51" i="7"/>
  <c r="K51" i="7" s="1"/>
  <c r="J50" i="7"/>
  <c r="L50" i="7" s="1"/>
  <c r="N50" i="7" s="1"/>
  <c r="N40" i="7" s="1"/>
  <c r="J49" i="7"/>
  <c r="K49" i="7" s="1"/>
  <c r="J48" i="7"/>
  <c r="J47" i="7"/>
  <c r="K47" i="7" s="1"/>
  <c r="J46" i="7"/>
  <c r="K46" i="7" s="1"/>
  <c r="J45" i="7"/>
  <c r="K45" i="7" s="1"/>
  <c r="J44" i="7"/>
  <c r="K44" i="7" s="1"/>
  <c r="J43" i="7"/>
  <c r="K43" i="7" s="1"/>
  <c r="J42" i="7"/>
  <c r="K42" i="7" s="1"/>
  <c r="J35" i="7"/>
  <c r="K35" i="7" s="1"/>
  <c r="J33" i="7"/>
  <c r="J31" i="7"/>
  <c r="K31" i="7" s="1"/>
  <c r="J30" i="7"/>
  <c r="K30" i="7" s="1"/>
  <c r="J29" i="7"/>
  <c r="K29" i="7" s="1"/>
  <c r="J28" i="7"/>
  <c r="K28" i="7" s="1"/>
  <c r="J27" i="7"/>
  <c r="K27" i="7" s="1"/>
  <c r="J20" i="7"/>
  <c r="K20" i="7" s="1"/>
  <c r="J17" i="7"/>
  <c r="K17" i="7" s="1"/>
  <c r="J15" i="7"/>
  <c r="J14" i="7"/>
  <c r="L14" i="7" s="1"/>
  <c r="N14" i="7" s="1"/>
  <c r="N166" i="7" s="1"/>
  <c r="J13" i="7"/>
  <c r="L13" i="7" s="1"/>
  <c r="N13" i="7" s="1"/>
  <c r="N165" i="7" s="1"/>
  <c r="J12" i="7"/>
  <c r="L12" i="7" s="1"/>
  <c r="N12" i="7" s="1"/>
  <c r="N164" i="7" s="1"/>
  <c r="J11" i="7"/>
  <c r="L123" i="7" l="1"/>
  <c r="N125" i="7"/>
  <c r="L63" i="7"/>
  <c r="N65" i="7"/>
  <c r="N63" i="7" s="1"/>
  <c r="N66" i="7" s="1"/>
  <c r="M153" i="3"/>
  <c r="K23" i="30" s="1"/>
  <c r="L11" i="7"/>
  <c r="J26" i="7"/>
  <c r="K26" i="7"/>
  <c r="K172" i="7"/>
  <c r="X12" i="30" s="1"/>
  <c r="K8" i="7"/>
  <c r="L40" i="7"/>
  <c r="L66" i="7" s="1"/>
  <c r="L41" i="7"/>
  <c r="N41" i="7" s="1"/>
  <c r="I96" i="7"/>
  <c r="J103" i="7"/>
  <c r="I156" i="7"/>
  <c r="I100" i="7"/>
  <c r="J19" i="7"/>
  <c r="L19" i="7" s="1"/>
  <c r="N19" i="7" s="1"/>
  <c r="N171" i="7" s="1"/>
  <c r="AA11" i="30" s="1"/>
  <c r="N187" i="7" l="1"/>
  <c r="N184" i="7" s="1"/>
  <c r="L10" i="7"/>
  <c r="N10" i="7" s="1"/>
  <c r="N162" i="7" s="1"/>
  <c r="N11" i="7"/>
  <c r="N163" i="7" s="1"/>
  <c r="L126" i="7"/>
  <c r="N123" i="7"/>
  <c r="N126" i="7" s="1"/>
  <c r="J171" i="7"/>
  <c r="L171" i="7" s="1"/>
  <c r="Y11" i="30" s="1"/>
  <c r="K160" i="7"/>
  <c r="K190" i="7" s="1"/>
  <c r="I126" i="7"/>
  <c r="H167" i="7" l="1"/>
  <c r="H168" i="7"/>
  <c r="J168" i="7" s="1"/>
  <c r="L168" i="7" s="1"/>
  <c r="H169" i="7"/>
  <c r="J169" i="7" s="1"/>
  <c r="L169" i="7" s="1"/>
  <c r="H171" i="7"/>
  <c r="H172" i="7"/>
  <c r="J172" i="7" s="1"/>
  <c r="L172" i="7" s="1"/>
  <c r="Y12" i="30" s="1"/>
  <c r="H179" i="7"/>
  <c r="J179" i="7" s="1"/>
  <c r="H180" i="7"/>
  <c r="J180" i="7" s="1"/>
  <c r="L180" i="7" s="1"/>
  <c r="H181" i="7"/>
  <c r="J181" i="7" s="1"/>
  <c r="L181" i="7" s="1"/>
  <c r="Y22" i="30" s="1"/>
  <c r="H182" i="7"/>
  <c r="J182" i="7" s="1"/>
  <c r="L182" i="7" s="1"/>
  <c r="Y27" i="30" s="1"/>
  <c r="H183" i="7"/>
  <c r="J183" i="7" s="1"/>
  <c r="L183" i="7" s="1"/>
  <c r="Y23" i="30" s="1"/>
  <c r="H185" i="7"/>
  <c r="Y28" i="30" l="1"/>
  <c r="Y32" i="30" s="1"/>
  <c r="L179" i="7"/>
  <c r="H162" i="7"/>
  <c r="J167" i="7"/>
  <c r="L167" i="7" s="1"/>
  <c r="H178" i="7"/>
  <c r="J185" i="7"/>
  <c r="L185" i="7" l="1"/>
  <c r="L184" i="7" s="1"/>
  <c r="J184" i="7"/>
  <c r="J178" i="7"/>
  <c r="L178" i="7"/>
  <c r="J162" i="7"/>
  <c r="G160" i="7"/>
  <c r="G100" i="7"/>
  <c r="G96" i="7"/>
  <c r="G40" i="7"/>
  <c r="G66" i="7" s="1"/>
  <c r="G9" i="7"/>
  <c r="L162" i="7" l="1"/>
  <c r="H18" i="7"/>
  <c r="H9" i="7" s="1"/>
  <c r="H8" i="7" s="1"/>
  <c r="J18" i="7" l="1"/>
  <c r="H170" i="7"/>
  <c r="F13" i="3"/>
  <c r="F8" i="3" s="1"/>
  <c r="F26" i="3"/>
  <c r="F19" i="3"/>
  <c r="F153" i="3"/>
  <c r="F152" i="3"/>
  <c r="G152" i="3"/>
  <c r="I152" i="3" s="1"/>
  <c r="F151" i="3"/>
  <c r="G151" i="3"/>
  <c r="I151" i="3" s="1"/>
  <c r="K151" i="3" s="1"/>
  <c r="I21" i="30" s="1"/>
  <c r="F149" i="3"/>
  <c r="G149" i="3"/>
  <c r="I149" i="3" s="1"/>
  <c r="K149" i="3" s="1"/>
  <c r="M149" i="3" s="1"/>
  <c r="F148" i="3"/>
  <c r="G148" i="3"/>
  <c r="I148" i="3" s="1"/>
  <c r="K148" i="3" s="1"/>
  <c r="M148" i="3" s="1"/>
  <c r="F147" i="3"/>
  <c r="G147" i="3"/>
  <c r="I147" i="3" s="1"/>
  <c r="K147" i="3" s="1"/>
  <c r="M147" i="3" s="1"/>
  <c r="F143" i="3"/>
  <c r="G143" i="3"/>
  <c r="I143" i="3" s="1"/>
  <c r="K143" i="3" s="1"/>
  <c r="I13" i="30" s="1"/>
  <c r="F142" i="3"/>
  <c r="G140" i="3"/>
  <c r="G185" i="7"/>
  <c r="G184" i="7" s="1"/>
  <c r="F144" i="3" l="1"/>
  <c r="F139" i="3" s="1"/>
  <c r="M143" i="3"/>
  <c r="K13" i="30" s="1"/>
  <c r="M151" i="3"/>
  <c r="K21" i="30" s="1"/>
  <c r="K152" i="3"/>
  <c r="I22" i="30" s="1"/>
  <c r="I28" i="30" s="1"/>
  <c r="I150" i="3"/>
  <c r="L18" i="7"/>
  <c r="N18" i="7" s="1"/>
  <c r="N170" i="7" s="1"/>
  <c r="J8" i="7"/>
  <c r="J170" i="7"/>
  <c r="H161" i="7"/>
  <c r="F31" i="3"/>
  <c r="M152" i="3" l="1"/>
  <c r="K22" i="30" s="1"/>
  <c r="K28" i="30" s="1"/>
  <c r="K32" i="30" s="1"/>
  <c r="L170" i="7"/>
  <c r="L161" i="7" s="1"/>
  <c r="Y10" i="30" s="1"/>
  <c r="Y18" i="30" s="1"/>
  <c r="Y20" i="30" s="1"/>
  <c r="Y33" i="30" s="1"/>
  <c r="J161" i="7"/>
  <c r="J160" i="7" s="1"/>
  <c r="H160" i="7"/>
  <c r="H188" i="7"/>
  <c r="H184" i="7" s="1"/>
  <c r="H63" i="7"/>
  <c r="F63" i="7"/>
  <c r="L160" i="7" l="1"/>
  <c r="H190" i="7"/>
  <c r="J63" i="7"/>
  <c r="H93" i="7"/>
  <c r="J93" i="7" s="1"/>
  <c r="L93" i="7" s="1"/>
  <c r="N93" i="7" s="1"/>
  <c r="G87" i="3"/>
  <c r="I87" i="3" s="1"/>
  <c r="K87" i="3" s="1"/>
  <c r="M87" i="3" s="1"/>
  <c r="M109" i="3" s="1"/>
  <c r="F87" i="3"/>
  <c r="F161" i="3" l="1"/>
  <c r="F157" i="3" s="1"/>
  <c r="F150" i="3"/>
  <c r="F124" i="3"/>
  <c r="G124" i="3"/>
  <c r="I124" i="3" s="1"/>
  <c r="F113" i="3"/>
  <c r="G113" i="3"/>
  <c r="I113" i="3" s="1"/>
  <c r="K113" i="3" s="1"/>
  <c r="F98" i="3"/>
  <c r="F109" i="3" s="1"/>
  <c r="I98" i="3"/>
  <c r="K98" i="3" s="1"/>
  <c r="K109" i="3" s="1"/>
  <c r="F72" i="3"/>
  <c r="G72" i="3"/>
  <c r="I72" i="3" s="1"/>
  <c r="F61" i="3"/>
  <c r="G61" i="3"/>
  <c r="F46" i="3"/>
  <c r="G46" i="3"/>
  <c r="F35" i="3"/>
  <c r="G35" i="3"/>
  <c r="G178" i="7"/>
  <c r="G130" i="7"/>
  <c r="G153" i="7"/>
  <c r="G123" i="7"/>
  <c r="G126" i="7" s="1"/>
  <c r="G32" i="7"/>
  <c r="G26" i="7"/>
  <c r="G8" i="7"/>
  <c r="G57" i="3" l="1"/>
  <c r="I57" i="3" s="1"/>
  <c r="K135" i="3"/>
  <c r="M113" i="3"/>
  <c r="M135" i="3" s="1"/>
  <c r="F135" i="3"/>
  <c r="G22" i="15"/>
  <c r="G28" i="15" s="1"/>
  <c r="F83" i="3"/>
  <c r="G109" i="3"/>
  <c r="I109" i="3" s="1"/>
  <c r="G36" i="7"/>
  <c r="G83" i="3"/>
  <c r="I83" i="3" s="1"/>
  <c r="K83" i="3" s="1"/>
  <c r="M83" i="3" s="1"/>
  <c r="I61" i="3"/>
  <c r="K61" i="3" s="1"/>
  <c r="M61" i="3" s="1"/>
  <c r="F57" i="3"/>
  <c r="I46" i="3"/>
  <c r="K46" i="3" s="1"/>
  <c r="I47" i="3"/>
  <c r="K47" i="3" s="1"/>
  <c r="M47" i="3" s="1"/>
  <c r="F162" i="3"/>
  <c r="F163" i="3" s="1"/>
  <c r="G156" i="7"/>
  <c r="G190" i="7"/>
  <c r="E140" i="3"/>
  <c r="F32" i="7"/>
  <c r="K57" i="3" l="1"/>
  <c r="M57" i="3" s="1"/>
  <c r="M46" i="3"/>
  <c r="H102" i="7"/>
  <c r="J102" i="7" s="1"/>
  <c r="J57" i="3" l="1"/>
  <c r="E13" i="3"/>
  <c r="G158" i="3" l="1"/>
  <c r="I158" i="3" s="1"/>
  <c r="E69" i="11" l="1"/>
  <c r="F69" i="11"/>
  <c r="H69" i="11" s="1"/>
  <c r="G155" i="3" l="1"/>
  <c r="I155" i="3" s="1"/>
  <c r="G154" i="3"/>
  <c r="I154" i="3" s="1"/>
  <c r="K154" i="3" s="1"/>
  <c r="M154" i="3" s="1"/>
  <c r="G146" i="3" l="1"/>
  <c r="G145" i="3"/>
  <c r="H32" i="7"/>
  <c r="I145" i="3" l="1"/>
  <c r="K145" i="3" s="1"/>
  <c r="M145" i="3" s="1"/>
  <c r="G144" i="3"/>
  <c r="I146" i="3"/>
  <c r="K146" i="3" s="1"/>
  <c r="J32" i="7"/>
  <c r="H41" i="7"/>
  <c r="H58" i="7"/>
  <c r="H100" i="7"/>
  <c r="J100" i="7" s="1"/>
  <c r="J126" i="7" s="1"/>
  <c r="G131" i="3"/>
  <c r="H153" i="7"/>
  <c r="J153" i="7" s="1"/>
  <c r="L153" i="7" s="1"/>
  <c r="N153" i="7" s="1"/>
  <c r="N156" i="7" s="1"/>
  <c r="J130" i="7"/>
  <c r="L130" i="7" s="1"/>
  <c r="K144" i="3" l="1"/>
  <c r="M146" i="3"/>
  <c r="K32" i="7"/>
  <c r="K36" i="7" s="1"/>
  <c r="J36" i="7"/>
  <c r="I144" i="3"/>
  <c r="J58" i="7"/>
  <c r="H40" i="7"/>
  <c r="J40" i="7" s="1"/>
  <c r="K40" i="7" s="1"/>
  <c r="K66" i="7" s="1"/>
  <c r="J41" i="7"/>
  <c r="K41" i="7" s="1"/>
  <c r="G139" i="3"/>
  <c r="I131" i="3"/>
  <c r="G135" i="3"/>
  <c r="I135" i="3" s="1"/>
  <c r="H156" i="7"/>
  <c r="J156" i="7" s="1"/>
  <c r="L156" i="7" s="1"/>
  <c r="H126" i="7"/>
  <c r="M144" i="3" l="1"/>
  <c r="K14" i="30" s="1"/>
  <c r="I14" i="30"/>
  <c r="I18" i="30" s="1"/>
  <c r="I139" i="3"/>
  <c r="K139" i="3"/>
  <c r="H66" i="7"/>
  <c r="K58" i="7"/>
  <c r="J66" i="7"/>
  <c r="H96" i="7"/>
  <c r="J96" i="7" s="1"/>
  <c r="L96" i="7" s="1"/>
  <c r="N96" i="7" s="1"/>
  <c r="M139" i="3" l="1"/>
  <c r="I20" i="30"/>
  <c r="I33" i="30"/>
  <c r="F180" i="7"/>
  <c r="E26" i="3" l="1"/>
  <c r="E8" i="3" l="1"/>
  <c r="E19" i="3"/>
  <c r="E31" i="3" l="1"/>
  <c r="D69" i="11" l="1"/>
  <c r="F188" i="7" l="1"/>
  <c r="F185" i="7"/>
  <c r="F153" i="7"/>
  <c r="F148" i="7"/>
  <c r="F132" i="7"/>
  <c r="F123" i="7"/>
  <c r="F118" i="7"/>
  <c r="F102" i="7"/>
  <c r="F100" i="7" s="1"/>
  <c r="F93" i="7"/>
  <c r="F58" i="7"/>
  <c r="F41" i="7"/>
  <c r="F40" i="7" s="1"/>
  <c r="F26" i="7"/>
  <c r="F8" i="7"/>
  <c r="F66" i="7" l="1"/>
  <c r="F130" i="7"/>
  <c r="F156" i="7" s="1"/>
  <c r="F184" i="7"/>
  <c r="F36" i="7"/>
  <c r="F126" i="7"/>
  <c r="E161" i="3" l="1"/>
  <c r="E162" i="3" s="1"/>
  <c r="E158" i="3"/>
  <c r="E156" i="3"/>
  <c r="E155" i="3"/>
  <c r="E154" i="3"/>
  <c r="E152" i="3"/>
  <c r="E151" i="3"/>
  <c r="E146" i="3"/>
  <c r="E147" i="3"/>
  <c r="E148" i="3"/>
  <c r="E149" i="3"/>
  <c r="E145" i="3"/>
  <c r="E141" i="3"/>
  <c r="E142" i="3"/>
  <c r="E143" i="3"/>
  <c r="E157" i="3" l="1"/>
  <c r="E144" i="3"/>
  <c r="E139" i="3" s="1"/>
  <c r="E131" i="3" l="1"/>
  <c r="E127" i="3"/>
  <c r="E118" i="3"/>
  <c r="E113" i="3" s="1"/>
  <c r="E105" i="3"/>
  <c r="E101" i="3"/>
  <c r="E98" i="3" s="1"/>
  <c r="E92" i="3"/>
  <c r="E87" i="3" s="1"/>
  <c r="E79" i="3"/>
  <c r="E72" i="3"/>
  <c r="E66" i="3"/>
  <c r="E61" i="3" s="1"/>
  <c r="E53" i="3"/>
  <c r="E49" i="3"/>
  <c r="E46" i="3" s="1"/>
  <c r="E40" i="3"/>
  <c r="E35" i="3" s="1"/>
  <c r="E124" i="3" l="1"/>
  <c r="E135" i="3" s="1"/>
  <c r="E153" i="3"/>
  <c r="E150" i="3" s="1"/>
  <c r="E163" i="3" s="1"/>
  <c r="E57" i="3"/>
  <c r="E109" i="3"/>
  <c r="E83" i="3"/>
  <c r="F183" i="7"/>
  <c r="F182" i="7"/>
  <c r="F163" i="7"/>
  <c r="F164" i="7"/>
  <c r="F165" i="7"/>
  <c r="F166" i="7"/>
  <c r="F167" i="7"/>
  <c r="F168" i="7"/>
  <c r="F169" i="7"/>
  <c r="F170" i="7"/>
  <c r="F171" i="7"/>
  <c r="F172" i="7"/>
  <c r="F96" i="7"/>
  <c r="F162" i="7" l="1"/>
  <c r="F161" i="7" l="1"/>
  <c r="F160" i="7" s="1"/>
  <c r="F181" i="7" l="1"/>
  <c r="F179" i="7"/>
  <c r="F178" i="7" l="1"/>
  <c r="F190" i="7" s="1"/>
  <c r="H36" i="7" l="1"/>
  <c r="G160" i="3"/>
  <c r="I160" i="3" s="1"/>
  <c r="K160" i="3" l="1"/>
  <c r="M160" i="3" s="1"/>
  <c r="K15" i="30" s="1"/>
  <c r="K18" i="30" s="1"/>
  <c r="K20" i="30" s="1"/>
  <c r="K33" i="30" s="1"/>
  <c r="G161" i="3"/>
  <c r="G157" i="3" l="1"/>
  <c r="I161" i="3"/>
  <c r="G162" i="3"/>
  <c r="K161" i="3" l="1"/>
  <c r="I157" i="3"/>
  <c r="G150" i="3"/>
  <c r="G163" i="3" s="1"/>
  <c r="K157" i="3" l="1"/>
  <c r="M157" i="3" s="1"/>
  <c r="M161" i="3"/>
  <c r="L9" i="7"/>
  <c r="L8" i="7" l="1"/>
  <c r="L36" i="7" s="1"/>
  <c r="N9" i="7"/>
  <c r="K13" i="3"/>
  <c r="K8" i="3" s="1"/>
  <c r="J8" i="3"/>
  <c r="K26" i="3"/>
  <c r="J29" i="3"/>
  <c r="J26" i="3" s="1"/>
  <c r="J25" i="3"/>
  <c r="K22" i="3"/>
  <c r="M22" i="3" s="1"/>
  <c r="M19" i="3" s="1"/>
  <c r="M31" i="3" s="1"/>
  <c r="N8" i="7" l="1"/>
  <c r="N36" i="7" s="1"/>
  <c r="N161" i="7"/>
  <c r="AA10" i="30" s="1"/>
  <c r="AA18" i="30" s="1"/>
  <c r="AA20" i="30" s="1"/>
  <c r="AA33" i="30" s="1"/>
  <c r="J31" i="3"/>
  <c r="K150" i="3"/>
  <c r="K19" i="3"/>
  <c r="K31" i="3" s="1"/>
  <c r="I69" i="11"/>
  <c r="M150" i="3" l="1"/>
  <c r="M163" i="3" s="1"/>
  <c r="K163" i="3"/>
  <c r="N160" i="7"/>
  <c r="N190" i="7" s="1"/>
  <c r="AE20" i="30" l="1"/>
  <c r="AE33" i="30" s="1"/>
  <c r="AE36" i="30" s="1"/>
  <c r="AH20" i="30" l="1"/>
  <c r="AI19" i="30"/>
  <c r="V132" i="7"/>
  <c r="W23" i="23"/>
  <c r="S136" i="3"/>
  <c r="S32" i="3"/>
  <c r="S84" i="3"/>
  <c r="S110" i="3"/>
  <c r="S4" i="3"/>
  <c r="S58" i="3"/>
</calcChain>
</file>

<file path=xl/sharedStrings.xml><?xml version="1.0" encoding="utf-8"?>
<sst xmlns="http://schemas.openxmlformats.org/spreadsheetml/2006/main" count="1190" uniqueCount="421">
  <si>
    <t>1. Makó Város Önkormányzat</t>
  </si>
  <si>
    <t>2. Munkaadót terhelő járulékok és szociális adó (K2)</t>
  </si>
  <si>
    <t>1. Személyi jellegű kiadások (K1)</t>
  </si>
  <si>
    <t>4. Ellátottak pénzbeli juttatásai (K4)</t>
  </si>
  <si>
    <t>3. Dologi kiadások (K3)</t>
  </si>
  <si>
    <t>5. Egyéb működési célú kiadások (K5)</t>
  </si>
  <si>
    <t>5.4 Általános tartalék (K513)</t>
  </si>
  <si>
    <t>5.5 Céltartalék (K513)</t>
  </si>
  <si>
    <t>I. Működési kiadások</t>
  </si>
  <si>
    <t>II. Felhalmozási kiadások</t>
  </si>
  <si>
    <t>1. Beruházások (K6)</t>
  </si>
  <si>
    <t>2. Felújítások (K7)</t>
  </si>
  <si>
    <t>3. Egyéb felhalmozási célú kiadások (K8)</t>
  </si>
  <si>
    <t>3.1 Egyéb felhalmozási célú támogatások államháztartáson belülre (K84)</t>
  </si>
  <si>
    <t>3.3 Egyéb felhalmozási célú támogatások államháztartáson kívülre (K89)</t>
  </si>
  <si>
    <t>III. Finanszírozási kiadások</t>
  </si>
  <si>
    <t>1. Hosszú lejáratú kölcsönök (K911)</t>
  </si>
  <si>
    <t>2. Államháztartáson belüli megelőlegezések visszafizetése (K914)</t>
  </si>
  <si>
    <t>3. Központi, irányító szervi támogatás folyósítása (K915)</t>
  </si>
  <si>
    <t>Összesen</t>
  </si>
  <si>
    <t>5.1 Helyi önkormányzatok törvény előíráson alapuló befizetései (K502)</t>
  </si>
  <si>
    <t>3. Makói Óvoda</t>
  </si>
  <si>
    <t>4. József Attila Városi Könyvtár és Múzeum</t>
  </si>
  <si>
    <t>KIADÁSOK</t>
  </si>
  <si>
    <t>Összeg (ezer Ft)</t>
  </si>
  <si>
    <t>Közgazdasági jelleg, finanszírozási bevételek, kiadások</t>
  </si>
  <si>
    <t>Kiemelt előirányzat (rovat)</t>
  </si>
  <si>
    <t>BEVÉTELEK</t>
  </si>
  <si>
    <t>I. Működési bevételek</t>
  </si>
  <si>
    <t>1. Működési célú támogatások államháztartáson belülről (B1)</t>
  </si>
  <si>
    <t>1.1.1 Helyi önkormányzatok működésének általános támogatása (B111)</t>
  </si>
  <si>
    <t>1.1.2 Települési önkormányzatok egyes köznevelési feladatainak támogatása (B112)</t>
  </si>
  <si>
    <t>1.1.3 Települési önkormányzatok szociális, gyermekjóléti és gyermekétekeztetési feladatainak támogatása (B113)</t>
  </si>
  <si>
    <t>1.1.4 Települési önkormányzatok kulturális feladatainak támogatása (B114)</t>
  </si>
  <si>
    <t>1.1.5 Működési célú költségvetési támogatások és kiegészítő támogatások (B115)</t>
  </si>
  <si>
    <t>1.1.6 Elszámolásból származó bevételek (B116)</t>
  </si>
  <si>
    <t>1.1 Önkormányzatok működési támogatása (B11)</t>
  </si>
  <si>
    <t>1.3 Egyéb működési célú támogatások bevételei államháztartáson belülről (B16)</t>
  </si>
  <si>
    <t>2. Működési bevételek (B4)</t>
  </si>
  <si>
    <t>3. Működési célú átvett pénzeszközök (B6)</t>
  </si>
  <si>
    <t>II. Felhalmozási bevételek</t>
  </si>
  <si>
    <t>1. Felhalmozási célú önkormányzati támogatások (B21)</t>
  </si>
  <si>
    <t>2. Egyéb felhalmozási célú támogatások bevételei államháztartáson belülről (B25)</t>
  </si>
  <si>
    <t>8. Felhalmozási célú átvett pénzeszközök (B7)</t>
  </si>
  <si>
    <t>7. Felhalmozási bevételek (B5)</t>
  </si>
  <si>
    <t>III. Finanszírozási bevételek</t>
  </si>
  <si>
    <t>1. Maradvány igénybevétele (B813)</t>
  </si>
  <si>
    <t>1.2 Működési célú visszatérítendő t ámogatások, kölcsönök visszatérülése államháztartáson belülről (B14)</t>
  </si>
  <si>
    <t>Makó Város Önkormányzat (összesen)</t>
  </si>
  <si>
    <t>2.Központi,irányító szervi támogatás</t>
  </si>
  <si>
    <t>2. Központi,irányító szervi támogatás</t>
  </si>
  <si>
    <t>Technikai</t>
  </si>
  <si>
    <t>3. Államháztartáson belüli megelőlegezések visszafizetése (K914)</t>
  </si>
  <si>
    <t>4. Központi, irányító szervi támogatás folyósítása (K915)</t>
  </si>
  <si>
    <t>2.Betét lekötés (K912)</t>
  </si>
  <si>
    <t>Megnevezés</t>
  </si>
  <si>
    <t>adatok ezer forintban</t>
  </si>
  <si>
    <t>sor-szám</t>
  </si>
  <si>
    <t>Sorszám</t>
  </si>
  <si>
    <t>Működési célú pénzeszköz átadás</t>
  </si>
  <si>
    <t>Támogatás értékű működési kiadás</t>
  </si>
  <si>
    <t>Makó Kistérség Többcélú Társulása</t>
  </si>
  <si>
    <t>Román Nemzetiségi Önkor. támogatása</t>
  </si>
  <si>
    <t>Roma Nemzetiségi Önkorm. támogatása</t>
  </si>
  <si>
    <t>Fogorvosi körzetek</t>
  </si>
  <si>
    <t>Felhalmozási célú pénzeszköz átadás</t>
  </si>
  <si>
    <t>Összesen:</t>
  </si>
  <si>
    <t>Irányítás alá tartozó költségvetési szerv működési támogatása</t>
  </si>
  <si>
    <t>Makói Óvoda</t>
  </si>
  <si>
    <t>József Attila Városi Könyvtár és Múzeum</t>
  </si>
  <si>
    <t xml:space="preserve">    </t>
  </si>
  <si>
    <t xml:space="preserve">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</si>
  <si>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</si>
  <si>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</si>
  <si>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</si>
  <si>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</si>
  <si>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</si>
  <si>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</si>
  <si>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</si>
  <si>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</si>
  <si>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</si>
  <si>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</si>
  <si>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</si>
  <si>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</si>
  <si>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</si>
  <si>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</si>
  <si>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</si>
  <si>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</si>
  <si>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</si>
  <si>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</si>
  <si>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</si>
  <si>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</si>
  <si>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</si>
  <si>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Önkormányzati ingatlanok egyéb felújítás</t>
  </si>
  <si>
    <t>1.A. Felh.célú kölcs.visszatér. Áh. Belül  (B23)</t>
  </si>
  <si>
    <t>22.</t>
  </si>
  <si>
    <t>23.</t>
  </si>
  <si>
    <t>Makói Egyesített Népjóléti Intézmény</t>
  </si>
  <si>
    <t>Makói Mentőállomás</t>
  </si>
  <si>
    <t>Makói Rendőrkapitányság</t>
  </si>
  <si>
    <t>5.Makói  Egyesített Népjóléti Intézmény</t>
  </si>
  <si>
    <t>5.Makói Egyesített Népjóléti Intézmény</t>
  </si>
  <si>
    <t>5.6Általános tartalék (K513)</t>
  </si>
  <si>
    <t>5.7 Céltartalék (K513)</t>
  </si>
  <si>
    <t>2018. évi eredeti előirányzat</t>
  </si>
  <si>
    <t>Önkormányzati bérlakások felújítása</t>
  </si>
  <si>
    <t>Rendkívüli települési támogatás- ivóvíz konténer</t>
  </si>
  <si>
    <t>Előirányzat 1/2018. (II.08.) önkormányzati rendelet</t>
  </si>
  <si>
    <t>Előirányzat1/2018. (II.08.) önkormányzati rendelet</t>
  </si>
  <si>
    <t>2019. évi eredeti előirányzat</t>
  </si>
  <si>
    <t>Kamerarendszerek felújítása, pótlása</t>
  </si>
  <si>
    <t>Módosítás</t>
  </si>
  <si>
    <t>Előirányzat 3/2019.(II.07.) önkormányzati rendelet</t>
  </si>
  <si>
    <t>5/2019.(II.28.) önkormányzati rendelettel módosított előirányzat</t>
  </si>
  <si>
    <t>Előirányzat  3/2019.(II.08.) önkormányzati rendelet</t>
  </si>
  <si>
    <t>7/2019. (VI.27.) önkormányzati rendelettel módosított előirányzat</t>
  </si>
  <si>
    <t xml:space="preserve"> 7/2019. (VI.27.) önkormányzati rendelettel módosított előirányzat</t>
  </si>
  <si>
    <t>sorszám</t>
  </si>
  <si>
    <t>Céltartalék összesen</t>
  </si>
  <si>
    <t>Céltartalékba helyezett közműfejlesztési hozzájárulás</t>
  </si>
  <si>
    <t>Általános tartalék</t>
  </si>
  <si>
    <t>Tartalékok összesen</t>
  </si>
  <si>
    <t xml:space="preserve">                  adatok ezer forintban</t>
  </si>
  <si>
    <t>Bevételek</t>
  </si>
  <si>
    <t>Vagyoni típusú adók (B34)</t>
  </si>
  <si>
    <t>Egyéb működési célú támogatások (B16)</t>
  </si>
  <si>
    <t>Felhalmozási célú támogatások (B2)</t>
  </si>
  <si>
    <t xml:space="preserve"> Működési bevételek (B4)</t>
  </si>
  <si>
    <t xml:space="preserve"> Működési célú átvett pénzeszközök (B6)</t>
  </si>
  <si>
    <t>Magánszemélyek jövedelemadói (B311)</t>
  </si>
  <si>
    <t xml:space="preserve"> Termékek és szolgáltatások adói (B35)</t>
  </si>
  <si>
    <t xml:space="preserve"> Egyéb közhatalmi bevételek (B36)</t>
  </si>
  <si>
    <t>Felhalmozási bevétel( B5)</t>
  </si>
  <si>
    <t xml:space="preserve"> Felhalmozási célú átvett pénzeszközök (B7)</t>
  </si>
  <si>
    <t>Betét felbontás( B812)</t>
  </si>
  <si>
    <t xml:space="preserve"> Maradvány igénybevétele (B813)</t>
  </si>
  <si>
    <t>Intézményi finanszírozás növ.</t>
  </si>
  <si>
    <t>Bevétel összesen:</t>
  </si>
  <si>
    <t>Kiadások</t>
  </si>
  <si>
    <t>2019. év</t>
  </si>
  <si>
    <t>Müködési célú kiadások</t>
  </si>
  <si>
    <t>Finanszírozási kiadások</t>
  </si>
  <si>
    <t>Felhalmozási kiadások</t>
  </si>
  <si>
    <t>2019. évi eredeti előirányzata mérleg rendszerben</t>
  </si>
  <si>
    <t>5/2019(II.28.) önkormányzati rendelettel módosított előirányzat</t>
  </si>
  <si>
    <t>Előirányzat 7/2019. (VI.27.) önkormányzati rendelet</t>
  </si>
  <si>
    <t>2018.évi eredeti előirányzat</t>
  </si>
  <si>
    <t>Személyi jellegű kiadások (K1)</t>
  </si>
  <si>
    <t>Munkaadót terhelő járulékok és szociális adó (K2)</t>
  </si>
  <si>
    <t>Dologi kiadások (K3)</t>
  </si>
  <si>
    <t>Ellátottak pénzbeli juttatásai (K4)</t>
  </si>
  <si>
    <t>Finanszírozási bevétel különbözete</t>
  </si>
  <si>
    <t>Egyéb működési célú kiadások (K5)</t>
  </si>
  <si>
    <t>Áh.belüli megelőlegezések visszaf. (K914)</t>
  </si>
  <si>
    <t>Finanszírozási kiadás különbözete</t>
  </si>
  <si>
    <t>Müködési célú kiadás :</t>
  </si>
  <si>
    <t>Müködési bevétel összesen:</t>
  </si>
  <si>
    <t>Előző évek  maradványa  igénybevétele működésre</t>
  </si>
  <si>
    <t>Működési kiadás mindösszesen:</t>
  </si>
  <si>
    <t>Működési bevétel mindösszesen:</t>
  </si>
  <si>
    <t>Felhalmozási célú önkormányzati támogatások (B21)</t>
  </si>
  <si>
    <t>Felújítások (K7)</t>
  </si>
  <si>
    <t>Egyéb felhalmozási célú támogatások bevételei államháztartáson belülről (B25)</t>
  </si>
  <si>
    <t>Egyéb felhalmozási célú kiadások (K8)</t>
  </si>
  <si>
    <t>Termékek és szolgáltatások adói (B35)</t>
  </si>
  <si>
    <t>Egyéb közhatalmi bevételek (B36)</t>
  </si>
  <si>
    <t>Felhalmozási bevétel (B5)</t>
  </si>
  <si>
    <t>Felhalmozási célú kiadás összesen:</t>
  </si>
  <si>
    <t>Felhalmozási bevétel összesen:</t>
  </si>
  <si>
    <t>Betét lekötés (K912)</t>
  </si>
  <si>
    <t>Betét felbontás ( B812)</t>
  </si>
  <si>
    <t>Központi irányítószervi támogatás folyósítása (K915)</t>
  </si>
  <si>
    <t>Előző évek maradványa igénybevétele felhalmozásra</t>
  </si>
  <si>
    <t>Felhalmozási célú kiadás mindösszesen:</t>
  </si>
  <si>
    <t>Felhalmozási bevétel mindösszesen:</t>
  </si>
  <si>
    <t>Mindösszesen</t>
  </si>
  <si>
    <t>rovat</t>
  </si>
  <si>
    <t>2018. eredeti EI</t>
  </si>
  <si>
    <t>B111-00</t>
  </si>
  <si>
    <t>I.1.</t>
  </si>
  <si>
    <t>Települési önkormányzatok működésének támogatása</t>
  </si>
  <si>
    <t>I.1.a)</t>
  </si>
  <si>
    <t>Önkormányzati hivatal működésének támogatása</t>
  </si>
  <si>
    <t>I.2.</t>
  </si>
  <si>
    <t>Nem közművel összegyűjtött háztartási szennyvíz ártalmatlanítása</t>
  </si>
  <si>
    <t>B112-00</t>
  </si>
  <si>
    <t>II.1.</t>
  </si>
  <si>
    <t>Óvodapedagógusok és óvodapedagógusok nevelő munkáját közvetlenül segítők bértámogatása</t>
  </si>
  <si>
    <t>II.1.aa)</t>
  </si>
  <si>
    <t>Óvodapedagógusok támogatása</t>
  </si>
  <si>
    <t>8 hó</t>
  </si>
  <si>
    <t>4 hó</t>
  </si>
  <si>
    <t>9-12. hó</t>
  </si>
  <si>
    <t>II.1.ab)</t>
  </si>
  <si>
    <t>Óvodapedagógusok munkáját közvetlenül segítők támogatása</t>
  </si>
  <si>
    <t>II.5</t>
  </si>
  <si>
    <t>Ped.II.kategória ovdapedagógus kiegészítő tám.</t>
  </si>
  <si>
    <t>Mesterpedagógus kat. Óvodapedagógus kieg. tám.</t>
  </si>
  <si>
    <t>II.2.</t>
  </si>
  <si>
    <t>Óvodaműködtetési támogatás</t>
  </si>
  <si>
    <t>II.4.</t>
  </si>
  <si>
    <t>II.</t>
  </si>
  <si>
    <t>Köznevelési feladat  támogatása összesen</t>
  </si>
  <si>
    <t>III.2</t>
  </si>
  <si>
    <t>A települési önkormányzatok szociális feladatainak egyéb támogatása</t>
  </si>
  <si>
    <t>III.3.a)</t>
  </si>
  <si>
    <t>Család- és gyermekjóléti szolgálat</t>
  </si>
  <si>
    <t>III.3.b)</t>
  </si>
  <si>
    <t>III.3.c)</t>
  </si>
  <si>
    <t>Szociális étkeztetés</t>
  </si>
  <si>
    <t>III.3.d)</t>
  </si>
  <si>
    <t>Házi segítségnyújtás</t>
  </si>
  <si>
    <t>III.3.e)</t>
  </si>
  <si>
    <t>Falugondnoki szolgáltatás</t>
  </si>
  <si>
    <t>III.3.f)</t>
  </si>
  <si>
    <t>Időskorúak nappali intézményi ellátása</t>
  </si>
  <si>
    <t>III.3.i)</t>
  </si>
  <si>
    <t>Hajléktalanok nappali intézményi ellátása</t>
  </si>
  <si>
    <t>III.3.j)</t>
  </si>
  <si>
    <t>Gyermekek napközbeni ellátása</t>
  </si>
  <si>
    <t>Felsőfokú végzettségű kisgyermeknevelők bértám.</t>
  </si>
  <si>
    <t>Bölcsődei dajkák, középfokú végzettségű kisgyermeknevelők bértám.</t>
  </si>
  <si>
    <t>Bölcsődei üzemeltetési támogatás</t>
  </si>
  <si>
    <t>III.3.k)</t>
  </si>
  <si>
    <t>Hajléktalanok átmeneti intézményei</t>
  </si>
  <si>
    <t>III.3.</t>
  </si>
  <si>
    <t>Egyes szociális és gyermekjóléti feladatok támogatása összesen</t>
  </si>
  <si>
    <t>III.4.</t>
  </si>
  <si>
    <t>Idősek átmeneti és tartós valamint  hajléktalanok szociális, szakosított ellátási feladatainak támogatása</t>
  </si>
  <si>
    <t>III.4.a)</t>
  </si>
  <si>
    <t>Szakmai dolgozók bértámogatása</t>
  </si>
  <si>
    <t>III.4.b)</t>
  </si>
  <si>
    <t>Üzemeltetési támogatás</t>
  </si>
  <si>
    <t>III.5.</t>
  </si>
  <si>
    <t>Ingyenes és kedvezményes gyermekétkeztetés támogatása</t>
  </si>
  <si>
    <t>III.5.a</t>
  </si>
  <si>
    <t>dolgozók bértámogatása</t>
  </si>
  <si>
    <t>III.5.b</t>
  </si>
  <si>
    <t>üzemeltetési támogatás</t>
  </si>
  <si>
    <t>III.5.c</t>
  </si>
  <si>
    <t>Rászoruló gyermekek szünidei étkeztetése</t>
  </si>
  <si>
    <t>B113-00</t>
  </si>
  <si>
    <t>III.</t>
  </si>
  <si>
    <t>Szociális és gyermekjóléti feladatok támogatása összesen</t>
  </si>
  <si>
    <t>B114-00</t>
  </si>
  <si>
    <t>IV.</t>
  </si>
  <si>
    <t xml:space="preserve">Könyvtári, közművelődési és  múzeumi feladatok támogatása </t>
  </si>
  <si>
    <t>IV.1.d)</t>
  </si>
  <si>
    <t>Nyilvános könyvtári ellátás</t>
  </si>
  <si>
    <t>IV.1.e)</t>
  </si>
  <si>
    <t>Muzeális intézményi feladatok támogatása</t>
  </si>
  <si>
    <t>B115-00</t>
  </si>
  <si>
    <t>Működési célú központosított támogatások</t>
  </si>
  <si>
    <t>3.sz.melléklet 15. pont</t>
  </si>
  <si>
    <t>Szociális ágazati pótlék</t>
  </si>
  <si>
    <t>Költségvetési támogatás összesen</t>
  </si>
  <si>
    <t>7/2019.(VI.27.) önkormányzati rendelettel módosított előirányzat</t>
  </si>
  <si>
    <t xml:space="preserve">10/2019. IX.26.) önkormányzati rendelettel módosított előirányzat </t>
  </si>
  <si>
    <t>10/2019. (IX.26.) önkormányzati rendelettel módosított előirányzat</t>
  </si>
  <si>
    <t>Módosított 
előirányzat</t>
  </si>
  <si>
    <t>10/2019. (IX.26) Módosított előirányzat</t>
  </si>
  <si>
    <t>10/2019. (XI.26.) önkormányzati rendelettel módosított előirányzat</t>
  </si>
  <si>
    <t>16/2019. (XI.28.) önkormányzati rendelettel módosított előirányzat</t>
  </si>
  <si>
    <t>Továbbtanuló diákok támogatása (BURSA)</t>
  </si>
  <si>
    <t>2020. évi eredeti előirányzat</t>
  </si>
  <si>
    <t>2020. évi eredeti 
előirányzat</t>
  </si>
  <si>
    <t>Ped. nevelő munkáját segítők kiegészítő tám.</t>
  </si>
  <si>
    <t>Víziközmű</t>
  </si>
  <si>
    <t>Lakossági kifizetés Víziközmű Társulat megszűnése után</t>
  </si>
  <si>
    <t>Összeg(ezer Ft)</t>
  </si>
  <si>
    <t>Makó Város Fejlődéséért Közalapítvány támogatása (beiskolázási támogatás)</t>
  </si>
  <si>
    <t>Makói művészeti csoportok, egyesületek, egyházak, sportszervek, civil szervezetek támogatása</t>
  </si>
  <si>
    <t>A</t>
  </si>
  <si>
    <t>B</t>
  </si>
  <si>
    <t>C</t>
  </si>
  <si>
    <t>D</t>
  </si>
  <si>
    <t>E</t>
  </si>
  <si>
    <t>F</t>
  </si>
  <si>
    <t>Ellenőrző pont</t>
  </si>
  <si>
    <t>Ellenőrző pont1</t>
  </si>
  <si>
    <t>Ellenőrző pont2</t>
  </si>
  <si>
    <t>Ellenőrző pont3</t>
  </si>
  <si>
    <t>G</t>
  </si>
  <si>
    <t>H</t>
  </si>
  <si>
    <t>I</t>
  </si>
  <si>
    <t>J</t>
  </si>
  <si>
    <t>Ellenőrzési pont</t>
  </si>
  <si>
    <t>Település üzemeltetési és egyéb önkormányzati feladatok támogatása</t>
  </si>
  <si>
    <t>Család- és gyermekjóléti központ</t>
  </si>
  <si>
    <t>Óvodai és iskolai szociális segítő tevékenység kieg. támogatása</t>
  </si>
  <si>
    <t>MAKÓI Szolgáltató Nonprofit Zrt</t>
  </si>
  <si>
    <t>Kiadás összesen:</t>
  </si>
  <si>
    <t>Makó és Térsége Szennyvízcsatornázási társulás maradványa kapcsolódó célok megvalósítására</t>
  </si>
  <si>
    <t>Egyéb tárgyieszköz beszerzés (klíma, tűzoltókészülékek, informatikai eszközök)</t>
  </si>
  <si>
    <t xml:space="preserve">ENI tárgyi eszközök beszerzése </t>
  </si>
  <si>
    <t>Beruházások (K6)</t>
  </si>
  <si>
    <t>Működési célú átvett pénzeszközök (B6)</t>
  </si>
  <si>
    <t>Működési bevételek (B4)</t>
  </si>
  <si>
    <t>Működési célú támogatások államháztartáson belülről (B1)</t>
  </si>
  <si>
    <t>Felhalmozási célú átvett pénzeszközök (B7)</t>
  </si>
  <si>
    <t>24.</t>
  </si>
  <si>
    <t>25.</t>
  </si>
  <si>
    <t>26.</t>
  </si>
  <si>
    <t>27.</t>
  </si>
  <si>
    <t>4. Közhatalmi bevételek (B3)</t>
  </si>
  <si>
    <t>4.2. Vagyoni típusú adók (B34)</t>
  </si>
  <si>
    <t>4.1. Magánszemélyek jövedelemadói (B311)</t>
  </si>
  <si>
    <t>4.3. Termékek és szolgáltatások adói (B35)</t>
  </si>
  <si>
    <t>4.4. Egyéb közhatalmi bevételek (B36)</t>
  </si>
  <si>
    <t>Előirányzat
4/2020. (III.05.) önkormányzati rendelet</t>
  </si>
  <si>
    <t>30.</t>
  </si>
  <si>
    <t>Előirányzat
 5./2021. (II.25.) polgármesteri rendelet</t>
  </si>
  <si>
    <t xml:space="preserve">E </t>
  </si>
  <si>
    <t>B116-00</t>
  </si>
  <si>
    <t>Elszámolásból származó bevételek</t>
  </si>
  <si>
    <t>Felnőttorvosi körzet</t>
  </si>
  <si>
    <t>Marosmenti Polgárőr Egyesület</t>
  </si>
  <si>
    <t>Continental dolgozók támogatása</t>
  </si>
  <si>
    <t>EFOP 1.5.3.</t>
  </si>
  <si>
    <t>EFOP3.9.2.</t>
  </si>
  <si>
    <t xml:space="preserve">Hulladékszigetek kialakítása </t>
  </si>
  <si>
    <t>Hagymatikum bővítés 9 Mrd.</t>
  </si>
  <si>
    <t>Hagymatikum kiegészítő támogatás 1,05Mrd</t>
  </si>
  <si>
    <t xml:space="preserve">Városüzemeltetés </t>
  </si>
  <si>
    <t>Önkormányzatok működési támogatása (B11)</t>
  </si>
  <si>
    <t>Nyugdíjasklubok támogatása</t>
  </si>
  <si>
    <t>Natura Művésztelep + Ifjúsági Művésztelep</t>
  </si>
  <si>
    <t>Előirányzat
3/2022. (II.10.) önkormányzati rendelet</t>
  </si>
  <si>
    <t>2023. évi eredeti előirányzat</t>
  </si>
  <si>
    <t xml:space="preserve">Makói Paktum -helyi foglalkoztatás </t>
  </si>
  <si>
    <t xml:space="preserve">Kálvin téri Bölcsőde felújítása </t>
  </si>
  <si>
    <t xml:space="preserve">Ingatlan beszerzés </t>
  </si>
  <si>
    <t>József Attila Városi Könyvtár és Múzeum -( könyvbeszerzés)</t>
  </si>
  <si>
    <t xml:space="preserve">Ár- és belvízvédekezés </t>
  </si>
  <si>
    <t>Települési önkormányzatok kulturális feladatainak bérjellegű támogatása</t>
  </si>
  <si>
    <t>Időskorúk juttatása</t>
  </si>
  <si>
    <t xml:space="preserve">Rendkívüli települési támogatás - "újszülöttek támogatása"  </t>
  </si>
  <si>
    <t>Rendezvény (újszülöttek támogatása)</t>
  </si>
  <si>
    <t>Egyházak támogatása</t>
  </si>
  <si>
    <t>Beiskolázási támogatás-  Makó Város Fejl. Közalapítvány</t>
  </si>
  <si>
    <t>ENI felújítás</t>
  </si>
  <si>
    <t>Makói Hivatásos Tűzoltó-parancsnokság</t>
  </si>
  <si>
    <t>Művészeti csoportok, egyesületek támogatása</t>
  </si>
  <si>
    <t>Előirányzat
1./2023. (II.23.) önkormányzati rendelet</t>
  </si>
  <si>
    <t>adatok forintban</t>
  </si>
  <si>
    <t>2024. évi eredeti előirányzat</t>
  </si>
  <si>
    <t>3.2 Felhalmozási célú visszatérítendő támogatás, kölcsön nyújtása államháztartáson kívülre (K86)</t>
  </si>
  <si>
    <t>Diabétesz ellátási pótlék</t>
  </si>
  <si>
    <t>3.4 Egyéb felhalmozási célú támogatások államháztartáson kívülre (K89)</t>
  </si>
  <si>
    <t>Makói Óvoda eszközbeszerzés</t>
  </si>
  <si>
    <t>Petőfi park turull madár</t>
  </si>
  <si>
    <t>Maros-parti emlékhely kialakítása</t>
  </si>
  <si>
    <t>Makói Szolgáltató Zrt tőkeemelés</t>
  </si>
  <si>
    <t>Jelzőrendszeres házi segítségnyújtás</t>
  </si>
  <si>
    <t>Szennyvíztársulás</t>
  </si>
  <si>
    <t>Makó Város Fejlődéséért Közalapítvány támogatása (Pedagógus-napi jutalmazás)</t>
  </si>
  <si>
    <t>Pályázat magántulajdonú ingatlanok felújítására, korszerűsítésére (visszatérítendő)</t>
  </si>
  <si>
    <t>Működési célú visszatérítendő t ámogatások, kölcsönök visszatérülése államháztartáson belülről (B14)</t>
  </si>
  <si>
    <t>5.2 Egyéb működési célú támogatások államháztartáson belülre (K506)</t>
  </si>
  <si>
    <t>5.3 Egyéb működési célú támogatások államháztartáson kívülre (K512)</t>
  </si>
  <si>
    <t>Makó Ipari Park infrastrukturális fejlesztése</t>
  </si>
  <si>
    <t>Makói Közös Önkormányzati Hivatal</t>
  </si>
  <si>
    <t>2025. évi eredeti előirányzat</t>
  </si>
  <si>
    <t>2025. évi  előirányzat</t>
  </si>
  <si>
    <t>2026. évi 
előirányzat</t>
  </si>
  <si>
    <t>2027. évi
előirányzat</t>
  </si>
  <si>
    <t>Előirányzat
 1./2024. (II.22.) önkormányzati rendelet</t>
  </si>
  <si>
    <t xml:space="preserve">Makó Város Önkormányzata 2025. évi cél- és általános tartalékok előirányzata </t>
  </si>
  <si>
    <t>Makó Város Önkormányzata alapítványok, társadalmi és egyéb szervek, szervezetek 2025. évi támogatásának előirányzata</t>
  </si>
  <si>
    <t>MAKÓI Szolgáltató Nonprofit Zrt - kulturális feladatok bérjellegű támogatása</t>
  </si>
  <si>
    <t>Előirányzat
1./2024. (II)22. önkormányzati rendelet</t>
  </si>
  <si>
    <t xml:space="preserve">Makó Város Önkormányzata 2025. évi beruházási kiadásainak előirányzata </t>
  </si>
  <si>
    <t>Előirányzat
1./2024. (II.22.) önkormányzati rendelet</t>
  </si>
  <si>
    <t>2025. évi normatív támogatások</t>
  </si>
  <si>
    <t>2. Makói Közös Önkormányzati Hivatal</t>
  </si>
  <si>
    <t>József Attila Gimnázium támogatása</t>
  </si>
  <si>
    <t>2028. évi
előirányzat</t>
  </si>
  <si>
    <t xml:space="preserve">   Makó Város Önkormányzat működési és felhalmozási célú bevételek és kiadások alakulását bemutató mérleg 2025-2028.</t>
  </si>
  <si>
    <t>TOP Plusz Tervezési díjak , tanulmányok</t>
  </si>
  <si>
    <t>Makói Közös Hivatal eszközbeszerzés</t>
  </si>
  <si>
    <t>Közvilágítási rendszer tervezés</t>
  </si>
  <si>
    <t xml:space="preserve"> Polgármesteri illetményhez és költségtérítéshez nyújtott támogatás</t>
  </si>
  <si>
    <t>Makó Város Önkormányzata 2025. évi felújítási kiadásainak előirányzata</t>
  </si>
  <si>
    <t>3. Betét felbontás (B812)</t>
  </si>
  <si>
    <t>Módosított előirányzat</t>
  </si>
  <si>
    <t>Előirányzat
2/2025. (II.20.) önkormányzati rendelet</t>
  </si>
  <si>
    <t>TOP_PLUSZ-1.3.2-23 Járda és úthálózat fejlesztése</t>
  </si>
  <si>
    <t>TOP_PLUSZ-3.4.1-23 Iskola orvosi rendelő megvalósítása</t>
  </si>
  <si>
    <t xml:space="preserve">TOP_PLUSZ-6.2.1-23 Helyi és térségi turizmusfejl. - Belváros </t>
  </si>
  <si>
    <t>TOP-PLUSZ-3.4.1-23-MA1-2024-00001 A makói óvoda - Kálvin téri tagintézmény ép-nek korszrűsítése</t>
  </si>
  <si>
    <t>TOP-PLUSZ-3.4.1-23-MA1-2024-00002 -A Makói Óvoda Kassai utcai épület korszerűsítése</t>
  </si>
  <si>
    <t>3. Központi,irányító szervi támogatás. (B816)</t>
  </si>
  <si>
    <t>4. Betét felbontás (B812)</t>
  </si>
  <si>
    <t xml:space="preserve">2. ÁH-n belüli megelőlegezések (B814) </t>
  </si>
  <si>
    <t>Közfoglalkoztatási programok</t>
  </si>
  <si>
    <t>Tisztítsuk meg városunkat II. pályázat fel nem használt támogatás</t>
  </si>
  <si>
    <t>Makó Városért díj</t>
  </si>
  <si>
    <t>28.</t>
  </si>
  <si>
    <t>Alapítvány a Makói Általános Iskoláért</t>
  </si>
  <si>
    <t>Nagy Judit</t>
  </si>
  <si>
    <t>Maros Táncegyüttes Baráti Köre</t>
  </si>
  <si>
    <t>Makó és Térsége Turisztikai Egyesület</t>
  </si>
  <si>
    <t>Nefelejcs Népdalkör</t>
  </si>
  <si>
    <t>Makói Múzeumért És Kultúráért Alapítvány</t>
  </si>
  <si>
    <t>Maros-parti Veteránjármûveket Kedvelõk Sportegyesülete</t>
  </si>
  <si>
    <t>Makói Közös Önkormányzati Hivatalhoz Társult települések 2024/12 havi bértámogatása</t>
  </si>
  <si>
    <t>Makói Óvoda felújítás</t>
  </si>
  <si>
    <t>ÁH-n belüli megelőlegezések (B814)</t>
  </si>
  <si>
    <t>ÁH-n belüli megelőlegezések(B814)</t>
  </si>
  <si>
    <t>Gyepmesteri Telep kennelek beszerzése</t>
  </si>
  <si>
    <t>Makó Város Önkormányzata 2025. évi működési és felhalmozási célú bevételeinek és kiadásainak  mérlege</t>
  </si>
  <si>
    <t>Volánbusz Zrt. -  helyi közforgalmú menetrend szerinti autóbusz közlekedés támogatása</t>
  </si>
  <si>
    <t>1. melléklet MAKÓ VÁROS ÖNKORMÁNYZATÁNAK 13/2025.(VI.26.) SZÁMÚ ÖNKORMÁNYZATI RENDELETÉHEZ</t>
  </si>
  <si>
    <t>2. melléklet MAKÓ VÁROS ÖNKORMÁNYZATÁNAK 13/2025.(VI.26.) SZÁMÚ ÖNKORMÁNYZATI RENDELETÉHEZ</t>
  </si>
  <si>
    <t>3. melléklet MAKÓ VÁROS ÖNKORMÁNYZATÁNAK 13/2025.(VI.26.) SZÁMÚ ÖNKORMÁNYZATI RENDELETÉHEZ</t>
  </si>
  <si>
    <t>4. melléklet MAKÓ VÁROS ÖNKORMÁNYZATÁNAK 13/2025.(VI.26.) SZÁMÚ ÖNKORMÁNYZATI RENDELETÉHEZ</t>
  </si>
  <si>
    <t>5. melléklet MAKÓ VÁROS ÖNKORMÁNYZATÁNAK 13/2025.(VI.26.) SZÁMÚ ÖNKORMÁNYZATI RENDELETÉHEZ</t>
  </si>
  <si>
    <t>6. melléklet MAKÓ VÁROS ÖNKORMÁNYZATÁNAK 13/2025.(VI.26.) SZÁMÚ ÖNKORMÁNYZATI RENDELETÉHEZ</t>
  </si>
  <si>
    <t>7. melléklet MAKÓ VÁROS ÖNKORMÁNYZATÁNAK 13/2025.(VI.26.) SZÁMÚ ÖNKORMÁNYZATI RENDELETÉHEZ</t>
  </si>
  <si>
    <t>8. melléklet MAKÓ VÁROS ÖNKORMÁNYZATÁNAK 13/2025.(VI.26.) SZÁMÚ ÖNKORMÁNYZATI RENDELETÉHEZ</t>
  </si>
  <si>
    <t>9. melléklet MAKÓ VÁROS ÖNKORMÁNYZATÁNAK 13/2025.(VI.26.) SZÁMÚ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</si>
</sst>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F_t_-;\-* #,##0\ _F_t_-;_-* &quot;-&quot;\ _F_t_-;_-@_-"/>
    <numFmt numFmtId="165" formatCode="_-* #,##0.00\ _F_t_-;\-* #,##0.00\ _F_t_-;_-* &quot;-&quot;??\ _F_t_-;_-@_-"/>
    <numFmt numFmtId="166" formatCode="#,##0;[Red]#,##0"/>
    <numFmt numFmtId="167" formatCode="#,##0_ ;\-#,##0\ "/>
    <numFmt numFmtId="168" formatCode="_-* #,##0\ _F_t_-;\-* #,##0\ _F_t_-;_-* &quot;-&quot;??\ _F_t_-;_-@_-"/>
    <numFmt numFmtId="169" formatCode="#,##0\ _F_t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indexed="8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0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3" fontId="1" fillId="3" borderId="2" xfId="0" applyNumberFormat="1" applyFont="1" applyFill="1" applyBorder="1"/>
    <xf numFmtId="3" fontId="0" fillId="0" borderId="2" xfId="0" applyNumberFormat="1" applyBorder="1"/>
    <xf numFmtId="3" fontId="0" fillId="3" borderId="2" xfId="0" applyNumberFormat="1" applyFill="1" applyBorder="1"/>
    <xf numFmtId="3" fontId="1" fillId="0" borderId="2" xfId="0" applyNumberFormat="1" applyFont="1" applyBorder="1"/>
    <xf numFmtId="1" fontId="0" fillId="0" borderId="2" xfId="0" applyNumberFormat="1" applyBorder="1"/>
    <xf numFmtId="0" fontId="3" fillId="0" borderId="2" xfId="0" applyFont="1" applyBorder="1"/>
    <xf numFmtId="3" fontId="3" fillId="0" borderId="2" xfId="0" applyNumberFormat="1" applyFont="1" applyBorder="1"/>
    <xf numFmtId="3" fontId="0" fillId="0" borderId="2" xfId="0" applyNumberForma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2" fillId="0" borderId="2" xfId="0" applyNumberFormat="1" applyFont="1" applyBorder="1"/>
    <xf numFmtId="14" fontId="2" fillId="0" borderId="2" xfId="0" applyNumberFormat="1" applyFont="1" applyBorder="1" applyAlignment="1">
      <alignment wrapText="1"/>
    </xf>
    <xf numFmtId="14" fontId="0" fillId="0" borderId="2" xfId="0" applyNumberFormat="1" applyBorder="1" applyAlignment="1">
      <alignment wrapText="1"/>
    </xf>
    <xf numFmtId="0" fontId="2" fillId="0" borderId="2" xfId="0" applyFont="1" applyBorder="1"/>
    <xf numFmtId="16" fontId="2" fillId="0" borderId="2" xfId="0" applyNumberFormat="1" applyFont="1" applyBorder="1"/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3" fontId="0" fillId="3" borderId="1" xfId="0" applyNumberFormat="1" applyFill="1" applyBorder="1"/>
    <xf numFmtId="3" fontId="2" fillId="3" borderId="1" xfId="0" applyNumberFormat="1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0" fontId="0" fillId="0" borderId="2" xfId="0" applyBorder="1" applyAlignment="1">
      <alignment vertical="center" wrapText="1"/>
    </xf>
    <xf numFmtId="3" fontId="1" fillId="0" borderId="4" xfId="0" applyNumberFormat="1" applyFont="1" applyBorder="1"/>
    <xf numFmtId="3" fontId="1" fillId="0" borderId="9" xfId="0" applyNumberFormat="1" applyFont="1" applyBorder="1"/>
    <xf numFmtId="166" fontId="0" fillId="0" borderId="2" xfId="0" applyNumberFormat="1" applyBorder="1"/>
    <xf numFmtId="3" fontId="1" fillId="0" borderId="10" xfId="0" applyNumberFormat="1" applyFont="1" applyBorder="1"/>
    <xf numFmtId="3" fontId="0" fillId="0" borderId="10" xfId="0" applyNumberFormat="1" applyBorder="1"/>
    <xf numFmtId="3" fontId="2" fillId="0" borderId="10" xfId="0" applyNumberFormat="1" applyFont="1" applyBorder="1"/>
    <xf numFmtId="3" fontId="0" fillId="0" borderId="11" xfId="0" applyNumberFormat="1" applyBorder="1"/>
    <xf numFmtId="167" fontId="0" fillId="0" borderId="2" xfId="0" applyNumberFormat="1" applyBorder="1"/>
    <xf numFmtId="3" fontId="0" fillId="0" borderId="0" xfId="0" applyNumberFormat="1"/>
    <xf numFmtId="167" fontId="0" fillId="0" borderId="2" xfId="5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6" fillId="3" borderId="6" xfId="0" applyFont="1" applyFill="1" applyBorder="1" applyAlignment="1">
      <alignment horizontal="right"/>
    </xf>
    <xf numFmtId="0" fontId="8" fillId="3" borderId="6" xfId="0" applyFont="1" applyFill="1" applyBorder="1"/>
    <xf numFmtId="3" fontId="9" fillId="3" borderId="6" xfId="0" applyNumberFormat="1" applyFont="1" applyFill="1" applyBorder="1"/>
    <xf numFmtId="3" fontId="9" fillId="3" borderId="2" xfId="0" applyNumberFormat="1" applyFont="1" applyFill="1" applyBorder="1"/>
    <xf numFmtId="3" fontId="10" fillId="0" borderId="2" xfId="0" applyNumberFormat="1" applyFont="1" applyBorder="1"/>
    <xf numFmtId="0" fontId="0" fillId="3" borderId="2" xfId="0" applyFill="1" applyBorder="1"/>
    <xf numFmtId="3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3" fontId="10" fillId="3" borderId="2" xfId="0" applyNumberFormat="1" applyFont="1" applyFill="1" applyBorder="1"/>
    <xf numFmtId="0" fontId="0" fillId="0" borderId="2" xfId="0" applyBorder="1" applyAlignment="1">
      <alignment horizontal="left"/>
    </xf>
    <xf numFmtId="0" fontId="3" fillId="3" borderId="2" xfId="0" applyFont="1" applyFill="1" applyBorder="1"/>
    <xf numFmtId="0" fontId="10" fillId="3" borderId="2" xfId="0" applyFont="1" applyFill="1" applyBorder="1" applyAlignment="1">
      <alignment horizontal="left"/>
    </xf>
    <xf numFmtId="3" fontId="3" fillId="3" borderId="2" xfId="0" applyNumberFormat="1" applyFont="1" applyFill="1" applyBorder="1"/>
    <xf numFmtId="1" fontId="11" fillId="3" borderId="2" xfId="0" applyNumberFormat="1" applyFont="1" applyFill="1" applyBorder="1"/>
    <xf numFmtId="1" fontId="3" fillId="3" borderId="2" xfId="0" applyNumberFormat="1" applyFont="1" applyFill="1" applyBorder="1"/>
    <xf numFmtId="3" fontId="0" fillId="3" borderId="2" xfId="0" applyNumberFormat="1" applyFill="1" applyBorder="1" applyAlignment="1">
      <alignment horizontal="right"/>
    </xf>
    <xf numFmtId="3" fontId="0" fillId="0" borderId="2" xfId="0" applyNumberFormat="1" applyBorder="1" applyAlignment="1">
      <alignment horizontal="right" wrapText="1"/>
    </xf>
    <xf numFmtId="3" fontId="0" fillId="0" borderId="2" xfId="0" applyNumberFormat="1" applyBorder="1" applyAlignment="1">
      <alignment horizontal="right"/>
    </xf>
    <xf numFmtId="0" fontId="0" fillId="0" borderId="0" xfId="0" applyAlignment="1">
      <alignment horizontal="left"/>
    </xf>
    <xf numFmtId="1" fontId="0" fillId="0" borderId="2" xfId="0" applyNumberFormat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0" fillId="0" borderId="0" xfId="0" applyNumberFormat="1" applyAlignment="1">
      <alignment horizontal="right"/>
    </xf>
    <xf numFmtId="1" fontId="0" fillId="3" borderId="2" xfId="0" applyNumberFormat="1" applyFill="1" applyBorder="1"/>
    <xf numFmtId="0" fontId="1" fillId="3" borderId="2" xfId="0" applyFont="1" applyFill="1" applyBorder="1" applyAlignment="1">
      <alignment horizontal="left"/>
    </xf>
    <xf numFmtId="3" fontId="12" fillId="3" borderId="2" xfId="0" applyNumberFormat="1" applyFont="1" applyFill="1" applyBorder="1"/>
    <xf numFmtId="1" fontId="6" fillId="3" borderId="2" xfId="0" applyNumberFormat="1" applyFont="1" applyFill="1" applyBorder="1"/>
    <xf numFmtId="3" fontId="8" fillId="0" borderId="2" xfId="0" applyNumberFormat="1" applyFont="1" applyBorder="1"/>
    <xf numFmtId="1" fontId="0" fillId="3" borderId="2" xfId="0" applyNumberFormat="1" applyFill="1" applyBorder="1" applyAlignment="1">
      <alignment horizontal="left"/>
    </xf>
    <xf numFmtId="3" fontId="13" fillId="3" borderId="2" xfId="0" applyNumberFormat="1" applyFont="1" applyFill="1" applyBorder="1"/>
    <xf numFmtId="0" fontId="9" fillId="3" borderId="0" xfId="0" applyFont="1" applyFill="1"/>
    <xf numFmtId="0" fontId="9" fillId="3" borderId="2" xfId="0" applyFont="1" applyFill="1" applyBorder="1"/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left" vertical="top"/>
    </xf>
    <xf numFmtId="14" fontId="0" fillId="0" borderId="2" xfId="0" applyNumberFormat="1" applyBorder="1"/>
    <xf numFmtId="0" fontId="0" fillId="0" borderId="1" xfId="0" applyBorder="1" applyAlignment="1">
      <alignment horizontal="center" vertical="center" wrapText="1"/>
    </xf>
    <xf numFmtId="3" fontId="0" fillId="0" borderId="1" xfId="5" applyNumberFormat="1" applyFont="1" applyFill="1" applyBorder="1" applyAlignment="1"/>
    <xf numFmtId="3" fontId="1" fillId="0" borderId="1" xfId="5" applyNumberFormat="1" applyFont="1" applyFill="1" applyBorder="1" applyAlignment="1"/>
    <xf numFmtId="0" fontId="1" fillId="0" borderId="1" xfId="0" applyFont="1" applyBorder="1"/>
    <xf numFmtId="167" fontId="0" fillId="0" borderId="1" xfId="0" applyNumberFormat="1" applyBorder="1"/>
    <xf numFmtId="3" fontId="0" fillId="0" borderId="1" xfId="5" applyNumberFormat="1" applyFont="1" applyFill="1" applyBorder="1"/>
    <xf numFmtId="3" fontId="1" fillId="0" borderId="1" xfId="5" applyNumberFormat="1" applyFont="1" applyFill="1" applyBorder="1"/>
    <xf numFmtId="3" fontId="0" fillId="3" borderId="1" xfId="5" applyNumberFormat="1" applyFont="1" applyFill="1" applyBorder="1" applyAlignment="1"/>
    <xf numFmtId="3" fontId="1" fillId="3" borderId="1" xfId="5" applyNumberFormat="1" applyFont="1" applyFill="1" applyBorder="1" applyAlignment="1"/>
    <xf numFmtId="3" fontId="1" fillId="3" borderId="1" xfId="0" applyNumberFormat="1" applyFont="1" applyFill="1" applyBorder="1"/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/>
    <xf numFmtId="3" fontId="1" fillId="3" borderId="2" xfId="5" applyNumberFormat="1" applyFont="1" applyFill="1" applyBorder="1" applyAlignment="1"/>
    <xf numFmtId="0" fontId="0" fillId="0" borderId="2" xfId="0" applyBorder="1" applyAlignment="1">
      <alignment horizontal="right"/>
    </xf>
    <xf numFmtId="0" fontId="0" fillId="3" borderId="7" xfId="0" applyFill="1" applyBorder="1"/>
    <xf numFmtId="0" fontId="0" fillId="3" borderId="1" xfId="0" applyFill="1" applyBorder="1"/>
    <xf numFmtId="0" fontId="1" fillId="3" borderId="1" xfId="0" applyFont="1" applyFill="1" applyBorder="1"/>
    <xf numFmtId="3" fontId="10" fillId="0" borderId="1" xfId="0" applyNumberFormat="1" applyFont="1" applyBorder="1"/>
    <xf numFmtId="3" fontId="0" fillId="0" borderId="13" xfId="0" applyNumberFormat="1" applyBorder="1"/>
    <xf numFmtId="3" fontId="0" fillId="4" borderId="2" xfId="0" applyNumberFormat="1" applyFill="1" applyBorder="1"/>
    <xf numFmtId="3" fontId="1" fillId="5" borderId="2" xfId="0" applyNumberFormat="1" applyFont="1" applyFill="1" applyBorder="1"/>
    <xf numFmtId="0" fontId="15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0" fillId="7" borderId="2" xfId="0" applyNumberFormat="1" applyFill="1" applyBorder="1"/>
    <xf numFmtId="3" fontId="16" fillId="5" borderId="2" xfId="0" applyNumberFormat="1" applyFont="1" applyFill="1" applyBorder="1"/>
    <xf numFmtId="3" fontId="17" fillId="5" borderId="2" xfId="0" applyNumberFormat="1" applyFont="1" applyFill="1" applyBorder="1"/>
    <xf numFmtId="3" fontId="16" fillId="7" borderId="2" xfId="0" applyNumberFormat="1" applyFont="1" applyFill="1" applyBorder="1"/>
    <xf numFmtId="3" fontId="0" fillId="8" borderId="2" xfId="0" applyNumberFormat="1" applyFill="1" applyBorder="1"/>
    <xf numFmtId="0" fontId="1" fillId="0" borderId="1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3" fontId="1" fillId="6" borderId="2" xfId="0" applyNumberFormat="1" applyFont="1" applyFill="1" applyBorder="1"/>
    <xf numFmtId="3" fontId="8" fillId="5" borderId="2" xfId="0" applyNumberFormat="1" applyFont="1" applyFill="1" applyBorder="1"/>
    <xf numFmtId="3" fontId="0" fillId="6" borderId="2" xfId="0" applyNumberFormat="1" applyFill="1" applyBorder="1"/>
    <xf numFmtId="3" fontId="16" fillId="4" borderId="2" xfId="0" applyNumberFormat="1" applyFont="1" applyFill="1" applyBorder="1"/>
    <xf numFmtId="3" fontId="16" fillId="6" borderId="2" xfId="0" applyNumberFormat="1" applyFont="1" applyFill="1" applyBorder="1"/>
    <xf numFmtId="3" fontId="0" fillId="5" borderId="2" xfId="0" applyNumberForma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3" borderId="3" xfId="0" applyFill="1" applyBorder="1" applyAlignment="1">
      <alignment horizontal="left"/>
    </xf>
    <xf numFmtId="1" fontId="0" fillId="3" borderId="3" xfId="0" applyNumberFormat="1" applyFill="1" applyBorder="1" applyAlignment="1">
      <alignment horizontal="left"/>
    </xf>
    <xf numFmtId="0" fontId="0" fillId="0" borderId="2" xfId="2" applyFont="1" applyBorder="1" applyAlignment="1">
      <alignment horizontal="center"/>
    </xf>
    <xf numFmtId="3" fontId="8" fillId="10" borderId="2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8" fillId="3" borderId="2" xfId="0" applyFont="1" applyFill="1" applyBorder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distributed"/>
    </xf>
    <xf numFmtId="0" fontId="3" fillId="2" borderId="2" xfId="0" applyFont="1" applyFill="1" applyBorder="1" applyAlignment="1">
      <alignment horizontal="left" vertical="distributed" wrapText="1"/>
    </xf>
    <xf numFmtId="164" fontId="3" fillId="0" borderId="2" xfId="0" applyNumberFormat="1" applyFont="1" applyBorder="1" applyAlignment="1">
      <alignment horizontal="right" vertical="justify"/>
    </xf>
    <xf numFmtId="164" fontId="3" fillId="0" borderId="2" xfId="0" applyNumberFormat="1" applyFont="1" applyBorder="1" applyAlignment="1">
      <alignment horizontal="right" vertical="distributed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wrapText="1"/>
    </xf>
    <xf numFmtId="3" fontId="3" fillId="0" borderId="1" xfId="0" applyNumberFormat="1" applyFont="1" applyBorder="1"/>
    <xf numFmtId="0" fontId="10" fillId="0" borderId="2" xfId="0" applyFont="1" applyBorder="1"/>
    <xf numFmtId="3" fontId="10" fillId="5" borderId="2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1" fillId="0" borderId="2" xfId="0" applyFont="1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3" fontId="11" fillId="0" borderId="2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3" fontId="9" fillId="5" borderId="2" xfId="0" applyNumberFormat="1" applyFont="1" applyFill="1" applyBorder="1"/>
    <xf numFmtId="3" fontId="11" fillId="0" borderId="0" xfId="0" applyNumberFormat="1" applyFont="1"/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/>
    </xf>
    <xf numFmtId="0" fontId="10" fillId="0" borderId="2" xfId="0" applyFont="1" applyBorder="1" applyAlignment="1">
      <alignment horizontal="left" vertical="distributed" wrapText="1"/>
    </xf>
    <xf numFmtId="0" fontId="10" fillId="0" borderId="2" xfId="0" applyFont="1" applyBorder="1" applyAlignment="1">
      <alignment vertical="center" wrapText="1"/>
    </xf>
    <xf numFmtId="14" fontId="3" fillId="0" borderId="2" xfId="0" applyNumberFormat="1" applyFont="1" applyBorder="1"/>
    <xf numFmtId="3" fontId="3" fillId="0" borderId="2" xfId="5" applyNumberFormat="1" applyFont="1" applyBorder="1"/>
    <xf numFmtId="3" fontId="3" fillId="0" borderId="2" xfId="5" applyNumberFormat="1" applyFont="1" applyFill="1" applyBorder="1"/>
    <xf numFmtId="3" fontId="3" fillId="0" borderId="2" xfId="0" applyNumberFormat="1" applyFont="1" applyBorder="1" applyAlignment="1">
      <alignment horizontal="right" vertical="distributed"/>
    </xf>
    <xf numFmtId="0" fontId="10" fillId="0" borderId="2" xfId="0" applyFont="1" applyBorder="1" applyAlignment="1">
      <alignment horizontal="left" vertical="distributed"/>
    </xf>
    <xf numFmtId="3" fontId="10" fillId="0" borderId="2" xfId="0" applyNumberFormat="1" applyFont="1" applyBorder="1" applyAlignment="1">
      <alignment horizontal="right" vertical="distributed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2" xfId="5" applyNumberFormat="1" applyFont="1" applyBorder="1" applyAlignment="1"/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horizontal="right" vertical="distributed"/>
    </xf>
    <xf numFmtId="168" fontId="10" fillId="0" borderId="2" xfId="5" applyNumberFormat="1" applyFont="1" applyBorder="1"/>
    <xf numFmtId="0" fontId="10" fillId="0" borderId="2" xfId="0" applyFont="1" applyBorder="1" applyAlignment="1">
      <alignment horizontal="center"/>
    </xf>
    <xf numFmtId="168" fontId="3" fillId="0" borderId="2" xfId="5" applyNumberFormat="1" applyFont="1" applyBorder="1"/>
    <xf numFmtId="0" fontId="10" fillId="0" borderId="0" xfId="0" applyFont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justify"/>
    </xf>
    <xf numFmtId="0" fontId="3" fillId="0" borderId="2" xfId="0" applyFont="1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169" fontId="9" fillId="0" borderId="2" xfId="0" applyNumberFormat="1" applyFont="1" applyBorder="1" applyAlignment="1">
      <alignment horizontal="right" vertical="justify"/>
    </xf>
    <xf numFmtId="0" fontId="11" fillId="0" borderId="2" xfId="0" applyFont="1" applyBorder="1" applyAlignment="1">
      <alignment wrapText="1"/>
    </xf>
    <xf numFmtId="169" fontId="11" fillId="0" borderId="2" xfId="0" applyNumberFormat="1" applyFont="1" applyBorder="1" applyAlignment="1">
      <alignment horizontal="right" vertical="distributed"/>
    </xf>
    <xf numFmtId="0" fontId="11" fillId="3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/>
    <xf numFmtId="0" fontId="0" fillId="0" borderId="0" xfId="2" applyFont="1"/>
    <xf numFmtId="0" fontId="0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0" fillId="0" borderId="2" xfId="2" applyFont="1" applyBorder="1"/>
    <xf numFmtId="0" fontId="3" fillId="0" borderId="3" xfId="2" applyFont="1" applyBorder="1"/>
    <xf numFmtId="0" fontId="3" fillId="0" borderId="2" xfId="2" applyFont="1" applyBorder="1"/>
    <xf numFmtId="0" fontId="10" fillId="0" borderId="3" xfId="2" applyFont="1" applyBorder="1"/>
    <xf numFmtId="0" fontId="10" fillId="0" borderId="2" xfId="2" applyFont="1" applyBorder="1" applyAlignment="1">
      <alignment horizontal="center" vertical="center" wrapText="1"/>
    </xf>
    <xf numFmtId="0" fontId="1" fillId="0" borderId="0" xfId="2" applyFont="1" applyAlignment="1">
      <alignment horizontal="right"/>
    </xf>
    <xf numFmtId="0" fontId="18" fillId="0" borderId="0" xfId="2" applyFont="1"/>
    <xf numFmtId="3" fontId="3" fillId="0" borderId="3" xfId="2" applyNumberFormat="1" applyFont="1" applyBorder="1"/>
    <xf numFmtId="3" fontId="3" fillId="0" borderId="0" xfId="2" applyNumberFormat="1" applyFont="1"/>
    <xf numFmtId="0" fontId="0" fillId="0" borderId="18" xfId="0" applyBorder="1"/>
    <xf numFmtId="3" fontId="10" fillId="0" borderId="0" xfId="2" applyNumberFormat="1" applyFont="1"/>
    <xf numFmtId="0" fontId="0" fillId="5" borderId="0" xfId="2" applyFont="1" applyFill="1"/>
    <xf numFmtId="0" fontId="0" fillId="0" borderId="0" xfId="2" applyFont="1" applyAlignment="1">
      <alignment horizontal="center"/>
    </xf>
    <xf numFmtId="0" fontId="0" fillId="0" borderId="7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19" fillId="0" borderId="0" xfId="2" applyFont="1" applyAlignment="1">
      <alignment horizontal="center"/>
    </xf>
    <xf numFmtId="0" fontId="19" fillId="0" borderId="0" xfId="2" applyFont="1"/>
    <xf numFmtId="0" fontId="3" fillId="0" borderId="0" xfId="2" applyFont="1"/>
    <xf numFmtId="0" fontId="20" fillId="0" borderId="0" xfId="1" applyFont="1"/>
    <xf numFmtId="0" fontId="20" fillId="0" borderId="2" xfId="1" applyFont="1" applyBorder="1"/>
    <xf numFmtId="0" fontId="21" fillId="0" borderId="2" xfId="1" applyFont="1" applyBorder="1" applyAlignment="1">
      <alignment horizontal="center" vertical="center"/>
    </xf>
    <xf numFmtId="3" fontId="20" fillId="0" borderId="2" xfId="1" applyNumberFormat="1" applyFont="1" applyBorder="1"/>
    <xf numFmtId="0" fontId="20" fillId="0" borderId="2" xfId="1" applyFont="1" applyBorder="1" applyAlignment="1">
      <alignment wrapText="1"/>
    </xf>
    <xf numFmtId="3" fontId="20" fillId="0" borderId="1" xfId="1" applyNumberFormat="1" applyFont="1" applyBorder="1"/>
    <xf numFmtId="3" fontId="20" fillId="0" borderId="3" xfId="1" applyNumberFormat="1" applyFont="1" applyBorder="1"/>
    <xf numFmtId="3" fontId="20" fillId="0" borderId="2" xfId="1" applyNumberFormat="1" applyFont="1" applyBorder="1" applyAlignment="1">
      <alignment wrapText="1"/>
    </xf>
    <xf numFmtId="37" fontId="20" fillId="0" borderId="2" xfId="1" applyNumberFormat="1" applyFont="1" applyBorder="1"/>
    <xf numFmtId="0" fontId="15" fillId="0" borderId="2" xfId="0" applyFont="1" applyBorder="1"/>
    <xf numFmtId="0" fontId="21" fillId="0" borderId="2" xfId="1" applyFont="1" applyBorder="1"/>
    <xf numFmtId="3" fontId="21" fillId="0" borderId="2" xfId="1" applyNumberFormat="1" applyFont="1" applyBorder="1"/>
    <xf numFmtId="3" fontId="21" fillId="0" borderId="1" xfId="1" applyNumberFormat="1" applyFont="1" applyBorder="1"/>
    <xf numFmtId="3" fontId="21" fillId="0" borderId="3" xfId="1" applyNumberFormat="1" applyFont="1" applyBorder="1"/>
    <xf numFmtId="3" fontId="20" fillId="0" borderId="0" xfId="1" applyNumberFormat="1" applyFont="1"/>
    <xf numFmtId="3" fontId="20" fillId="0" borderId="2" xfId="1" applyNumberFormat="1" applyFont="1" applyBorder="1" applyAlignment="1">
      <alignment horizontal="right" vertical="distributed"/>
    </xf>
    <xf numFmtId="0" fontId="20" fillId="0" borderId="0" xfId="1" applyFont="1" applyAlignment="1">
      <alignment horizontal="center"/>
    </xf>
    <xf numFmtId="3" fontId="21" fillId="0" borderId="2" xfId="1" applyNumberFormat="1" applyFont="1" applyBorder="1" applyAlignment="1">
      <alignment vertical="center"/>
    </xf>
    <xf numFmtId="3" fontId="21" fillId="0" borderId="1" xfId="1" applyNumberFormat="1" applyFont="1" applyBorder="1" applyAlignment="1">
      <alignment vertical="center"/>
    </xf>
    <xf numFmtId="3" fontId="21" fillId="0" borderId="3" xfId="1" applyNumberFormat="1" applyFont="1" applyBorder="1" applyAlignment="1">
      <alignment vertical="center"/>
    </xf>
    <xf numFmtId="3" fontId="19" fillId="0" borderId="0" xfId="2" applyNumberFormat="1" applyFont="1"/>
    <xf numFmtId="0" fontId="14" fillId="0" borderId="0" xfId="0" applyFont="1"/>
    <xf numFmtId="0" fontId="0" fillId="3" borderId="3" xfId="0" applyFill="1" applyBorder="1"/>
    <xf numFmtId="3" fontId="10" fillId="6" borderId="3" xfId="2" applyNumberFormat="1" applyFont="1" applyFill="1" applyBorder="1"/>
    <xf numFmtId="0" fontId="10" fillId="6" borderId="3" xfId="2" applyFont="1" applyFill="1" applyBorder="1"/>
    <xf numFmtId="3" fontId="15" fillId="0" borderId="2" xfId="1" applyNumberFormat="1" applyFont="1" applyBorder="1"/>
    <xf numFmtId="0" fontId="15" fillId="0" borderId="0" xfId="1" applyFont="1"/>
    <xf numFmtId="3" fontId="23" fillId="5" borderId="2" xfId="1" applyNumberFormat="1" applyFont="1" applyFill="1" applyBorder="1"/>
    <xf numFmtId="3" fontId="15" fillId="0" borderId="0" xfId="1" applyNumberFormat="1" applyFont="1"/>
    <xf numFmtId="0" fontId="0" fillId="0" borderId="0" xfId="0" applyAlignment="1">
      <alignment horizontal="center" vertical="center"/>
    </xf>
    <xf numFmtId="3" fontId="3" fillId="0" borderId="3" xfId="2" applyNumberFormat="1" applyFont="1" applyBorder="1" applyAlignment="1">
      <alignment wrapText="1"/>
    </xf>
    <xf numFmtId="0" fontId="24" fillId="0" borderId="2" xfId="2" applyFont="1" applyBorder="1" applyAlignment="1">
      <alignment horizontal="right" wrapText="1"/>
    </xf>
    <xf numFmtId="0" fontId="24" fillId="0" borderId="2" xfId="2" applyFont="1" applyBorder="1" applyAlignment="1">
      <alignment horizontal="right"/>
    </xf>
    <xf numFmtId="3" fontId="25" fillId="0" borderId="2" xfId="0" applyNumberFormat="1" applyFont="1" applyBorder="1"/>
    <xf numFmtId="0" fontId="25" fillId="0" borderId="0" xfId="0" applyFont="1"/>
    <xf numFmtId="3" fontId="25" fillId="0" borderId="0" xfId="0" applyNumberFormat="1" applyFont="1"/>
    <xf numFmtId="3" fontId="10" fillId="6" borderId="2" xfId="0" applyNumberFormat="1" applyFont="1" applyFill="1" applyBorder="1"/>
    <xf numFmtId="3" fontId="9" fillId="10" borderId="2" xfId="0" applyNumberFormat="1" applyFont="1" applyFill="1" applyBorder="1"/>
    <xf numFmtId="0" fontId="27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3" fontId="17" fillId="4" borderId="2" xfId="0" applyNumberFormat="1" applyFont="1" applyFill="1" applyBorder="1"/>
    <xf numFmtId="3" fontId="26" fillId="0" borderId="2" xfId="0" applyNumberFormat="1" applyFont="1" applyBorder="1"/>
    <xf numFmtId="3" fontId="26" fillId="6" borderId="2" xfId="0" applyNumberFormat="1" applyFont="1" applyFill="1" applyBorder="1"/>
    <xf numFmtId="3" fontId="17" fillId="7" borderId="2" xfId="0" applyNumberFormat="1" applyFont="1" applyFill="1" applyBorder="1"/>
    <xf numFmtId="3" fontId="26" fillId="7" borderId="2" xfId="0" applyNumberFormat="1" applyFont="1" applyFill="1" applyBorder="1"/>
    <xf numFmtId="0" fontId="26" fillId="0" borderId="2" xfId="0" applyFont="1" applyBorder="1"/>
    <xf numFmtId="3" fontId="17" fillId="6" borderId="2" xfId="0" applyNumberFormat="1" applyFont="1" applyFill="1" applyBorder="1"/>
    <xf numFmtId="3" fontId="26" fillId="4" borderId="2" xfId="0" applyNumberFormat="1" applyFont="1" applyFill="1" applyBorder="1"/>
    <xf numFmtId="3" fontId="26" fillId="8" borderId="2" xfId="0" applyNumberFormat="1" applyFont="1" applyFill="1" applyBorder="1"/>
    <xf numFmtId="3" fontId="26" fillId="5" borderId="2" xfId="0" applyNumberFormat="1" applyFont="1" applyFill="1" applyBorder="1"/>
    <xf numFmtId="3" fontId="3" fillId="0" borderId="2" xfId="2" applyNumberFormat="1" applyFont="1" applyBorder="1" applyAlignment="1">
      <alignment horizontal="right"/>
    </xf>
    <xf numFmtId="3" fontId="10" fillId="6" borderId="2" xfId="2" applyNumberFormat="1" applyFont="1" applyFill="1" applyBorder="1"/>
    <xf numFmtId="3" fontId="3" fillId="0" borderId="2" xfId="2" applyNumberFormat="1" applyFont="1" applyBorder="1"/>
    <xf numFmtId="0" fontId="0" fillId="0" borderId="7" xfId="0" applyBorder="1" applyAlignment="1">
      <alignment vertical="top" wrapText="1" shrinkToFit="1"/>
    </xf>
    <xf numFmtId="3" fontId="0" fillId="0" borderId="7" xfId="0" applyNumberFormat="1" applyBorder="1" applyAlignment="1">
      <alignment vertical="top" wrapText="1" shrinkToFit="1"/>
    </xf>
    <xf numFmtId="3" fontId="21" fillId="5" borderId="2" xfId="1" applyNumberFormat="1" applyFont="1" applyFill="1" applyBorder="1"/>
    <xf numFmtId="0" fontId="26" fillId="0" borderId="0" xfId="0" applyFont="1"/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/>
    <xf numFmtId="0" fontId="26" fillId="3" borderId="7" xfId="0" applyFont="1" applyFill="1" applyBorder="1"/>
    <xf numFmtId="3" fontId="26" fillId="0" borderId="0" xfId="0" applyNumberFormat="1" applyFont="1"/>
    <xf numFmtId="0" fontId="16" fillId="9" borderId="5" xfId="0" applyFont="1" applyFill="1" applyBorder="1" applyAlignment="1">
      <alignment horizontal="center" wrapText="1"/>
    </xf>
    <xf numFmtId="168" fontId="0" fillId="0" borderId="0" xfId="5" applyNumberFormat="1" applyFont="1"/>
    <xf numFmtId="168" fontId="0" fillId="0" borderId="0" xfId="0" applyNumberFormat="1"/>
    <xf numFmtId="0" fontId="3" fillId="0" borderId="2" xfId="0" applyFont="1" applyBorder="1" applyAlignment="1">
      <alignment horizontal="left" vertical="distributed" wrapText="1"/>
    </xf>
    <xf numFmtId="0" fontId="20" fillId="0" borderId="0" xfId="0" applyFont="1" applyAlignment="1">
      <alignment vertical="center"/>
    </xf>
    <xf numFmtId="0" fontId="9" fillId="0" borderId="0" xfId="1" applyFont="1" applyAlignment="1">
      <alignment horizontal="center" wrapText="1"/>
    </xf>
    <xf numFmtId="0" fontId="21" fillId="0" borderId="0" xfId="1" applyFont="1"/>
    <xf numFmtId="0" fontId="23" fillId="0" borderId="0" xfId="1" applyFont="1"/>
    <xf numFmtId="0" fontId="23" fillId="0" borderId="2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3" fontId="0" fillId="3" borderId="2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7" fillId="0" borderId="0" xfId="0" applyFont="1" applyAlignment="1">
      <alignment horizontal="center"/>
    </xf>
    <xf numFmtId="0" fontId="8" fillId="3" borderId="6" xfId="0" applyFont="1" applyFill="1" applyBorder="1" applyAlignment="1">
      <alignment horizontal="left"/>
    </xf>
    <xf numFmtId="0" fontId="0" fillId="3" borderId="2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right"/>
    </xf>
    <xf numFmtId="0" fontId="10" fillId="0" borderId="17" xfId="2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vertical="top" wrapText="1"/>
    </xf>
    <xf numFmtId="0" fontId="21" fillId="0" borderId="14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3" fontId="20" fillId="0" borderId="5" xfId="1" applyNumberFormat="1" applyFont="1" applyBorder="1" applyAlignment="1">
      <alignment horizontal="center" vertical="center"/>
    </xf>
    <xf numFmtId="3" fontId="20" fillId="0" borderId="6" xfId="1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11" fillId="0" borderId="17" xfId="0" applyFont="1" applyBorder="1" applyAlignment="1">
      <alignment horizontal="right"/>
    </xf>
    <xf numFmtId="0" fontId="21" fillId="0" borderId="4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</cellXfs>
  <cellStyles count="6">
    <cellStyle name="Ezres" xfId="5" builtinId="3"/>
    <cellStyle name="Ezres 2" xfId="3" xr:uid="{00000000-0005-0000-0000-000001000000}"/>
    <cellStyle name="Ezres 3" xfId="4" xr:uid="{00000000-0005-0000-0000-000002000000}"/>
    <cellStyle name="Normál" xfId="0" builtinId="0"/>
    <cellStyle name="Normál 2" xfId="2" xr:uid="{00000000-0005-0000-0000-000004000000}"/>
    <cellStyle name="Normál 3" xfId="1" xr:uid="{00000000-0005-0000-0000-000005000000}"/>
  </cellStyles>
  <dxfs count="0"/>
  <tableStyles count="0" defaultTableStyle="TableStyleMedium9" defaultPivotStyle="PivotStyleLight16"/>
  <colors>
    <mruColors>
      <color rgb="FFFF6699"/>
      <color rgb="FFCF30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rakonczaierika\Desktop\El&#337;ir&#225;nyzatm&#243;dos&#237;t&#243;%20t&#225;bla%202019.06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l&#337;ir&#225;nyzat%20m&#243;dos&#237;t&#225;s%20190626\Egys&#233;ges%20rendelet_201906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adások"/>
      <sheetName val="Bevételek"/>
      <sheetName val="Kiad-Mód"/>
      <sheetName val="Bev-Mód"/>
      <sheetName val="Munka1"/>
    </sheetNames>
    <sheetDataSet>
      <sheetData sheetId="0" refreshError="1"/>
      <sheetData sheetId="1" refreshError="1"/>
      <sheetData sheetId="2" refreshError="1">
        <row r="13">
          <cell r="F13">
            <v>0</v>
          </cell>
        </row>
        <row r="24">
          <cell r="F24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69">
          <cell r="F69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7">
          <cell r="F77">
            <v>0</v>
          </cell>
        </row>
        <row r="78">
          <cell r="F78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97">
          <cell r="F97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6">
          <cell r="F106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25">
          <cell r="F125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4">
          <cell r="F134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ételek"/>
      <sheetName val="Kiadások"/>
      <sheetName val="Normatíva"/>
      <sheetName val="Beruházások"/>
      <sheetName val="Szociális"/>
      <sheetName val="Támogatás"/>
      <sheetName val="Felújítás"/>
      <sheetName val="Létszám"/>
      <sheetName val="Közvetett "/>
      <sheetName val=" Tartalék 10m"/>
      <sheetName val=" Gördülő 11m"/>
      <sheetName val="Kötelezettség 12m"/>
      <sheetName val="Hitel 13m"/>
      <sheetName val="Likvid 14m"/>
      <sheetName val="Kötelező 15m"/>
      <sheetName val="Unio 16m"/>
      <sheetName val="Mérleg 17m"/>
      <sheetName val="Címrend 18m"/>
      <sheetName val="Munka1"/>
    </sheetNames>
    <sheetDataSet>
      <sheetData sheetId="0">
        <row r="163">
          <cell r="G163">
            <v>869953</v>
          </cell>
        </row>
        <row r="173">
          <cell r="G173">
            <v>488190</v>
          </cell>
        </row>
        <row r="174">
          <cell r="G174">
            <v>0</v>
          </cell>
        </row>
        <row r="176">
          <cell r="G176">
            <v>0</v>
          </cell>
        </row>
        <row r="183">
          <cell r="G183">
            <v>105000</v>
          </cell>
        </row>
        <row r="186">
          <cell r="G186">
            <v>3761803</v>
          </cell>
        </row>
      </sheetData>
      <sheetData sheetId="1">
        <row r="150">
          <cell r="F150">
            <v>1098520</v>
          </cell>
        </row>
        <row r="151">
          <cell r="F151">
            <v>212275</v>
          </cell>
        </row>
        <row r="152">
          <cell r="F152">
            <v>1029983</v>
          </cell>
        </row>
        <row r="153">
          <cell r="F153">
            <v>108500</v>
          </cell>
        </row>
        <row r="154">
          <cell r="F154">
            <v>820174</v>
          </cell>
        </row>
        <row r="163">
          <cell r="F163">
            <v>3274039</v>
          </cell>
        </row>
        <row r="164">
          <cell r="F164">
            <v>677316</v>
          </cell>
        </row>
        <row r="165">
          <cell r="F165">
            <v>29000</v>
          </cell>
        </row>
        <row r="172">
          <cell r="F172">
            <v>25752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V197"/>
  <sheetViews>
    <sheetView view="pageBreakPreview" zoomScaleNormal="100" zoomScaleSheetLayoutView="100" workbookViewId="0">
      <selection sqref="A1:E1"/>
    </sheetView>
  </sheetViews>
  <sheetFormatPr defaultColWidth="9.140625" defaultRowHeight="15" x14ac:dyDescent="0.25"/>
  <cols>
    <col min="1" max="1" width="6.42578125" customWidth="1"/>
    <col min="2" max="2" width="5.42578125" customWidth="1"/>
    <col min="3" max="3" width="5.5703125" customWidth="1"/>
    <col min="4" max="4" width="6.5703125" customWidth="1"/>
    <col min="5" max="5" width="86.5703125" style="4" customWidth="1"/>
    <col min="6" max="7" width="13.85546875" hidden="1" customWidth="1"/>
    <col min="8" max="8" width="15.140625" hidden="1" customWidth="1"/>
    <col min="9" max="9" width="13.85546875" hidden="1" customWidth="1"/>
    <col min="10" max="10" width="13.5703125" hidden="1" customWidth="1"/>
    <col min="11" max="11" width="14.42578125" hidden="1" customWidth="1"/>
    <col min="12" max="12" width="14.85546875" hidden="1" customWidth="1"/>
    <col min="13" max="13" width="14.140625" hidden="1" customWidth="1"/>
    <col min="14" max="14" width="14.85546875" hidden="1" customWidth="1"/>
    <col min="15" max="18" width="15.5703125" hidden="1" customWidth="1"/>
    <col min="19" max="19" width="15.5703125" customWidth="1"/>
    <col min="20" max="20" width="15.5703125" style="260" customWidth="1"/>
    <col min="21" max="21" width="14.140625" style="284" customWidth="1"/>
    <col min="22" max="22" width="14.85546875" customWidth="1"/>
  </cols>
  <sheetData>
    <row r="1" spans="1:22" s="284" customFormat="1" x14ac:dyDescent="0.25">
      <c r="A1" s="303" t="s">
        <v>412</v>
      </c>
      <c r="B1" s="303"/>
      <c r="C1" s="303"/>
      <c r="D1" s="303"/>
      <c r="E1" s="303"/>
    </row>
    <row r="2" spans="1:22" ht="15.75" x14ac:dyDescent="0.25">
      <c r="S2" s="162"/>
      <c r="V2" s="264" t="s">
        <v>56</v>
      </c>
    </row>
    <row r="3" spans="1:22" x14ac:dyDescent="0.25">
      <c r="A3" s="3"/>
      <c r="B3" s="104" t="s">
        <v>272</v>
      </c>
      <c r="C3" s="104" t="s">
        <v>273</v>
      </c>
      <c r="D3" s="104" t="s">
        <v>274</v>
      </c>
      <c r="E3" s="105" t="s">
        <v>275</v>
      </c>
      <c r="F3" s="104"/>
      <c r="G3" s="104"/>
      <c r="H3" s="104"/>
      <c r="I3" s="104"/>
      <c r="J3" s="104"/>
      <c r="K3" s="104"/>
      <c r="L3" s="104"/>
      <c r="M3" s="104"/>
      <c r="N3" s="104"/>
      <c r="O3" s="105" t="s">
        <v>276</v>
      </c>
      <c r="P3" s="104" t="s">
        <v>312</v>
      </c>
      <c r="Q3" s="105" t="s">
        <v>312</v>
      </c>
      <c r="R3" s="104" t="s">
        <v>312</v>
      </c>
      <c r="S3" s="104" t="s">
        <v>312</v>
      </c>
      <c r="T3" s="265" t="s">
        <v>277</v>
      </c>
      <c r="U3" s="265" t="s">
        <v>282</v>
      </c>
      <c r="V3" s="104" t="s">
        <v>283</v>
      </c>
    </row>
    <row r="4" spans="1:22" s="5" customFormat="1" ht="90" x14ac:dyDescent="0.25">
      <c r="A4" s="24">
        <v>1</v>
      </c>
      <c r="B4" s="300" t="s">
        <v>27</v>
      </c>
      <c r="C4" s="301"/>
      <c r="D4" s="301"/>
      <c r="E4" s="301"/>
      <c r="F4" s="6" t="s">
        <v>107</v>
      </c>
      <c r="G4" s="32" t="s">
        <v>113</v>
      </c>
      <c r="H4" s="6" t="s">
        <v>112</v>
      </c>
      <c r="I4" s="24" t="s">
        <v>111</v>
      </c>
      <c r="J4" s="6" t="s">
        <v>115</v>
      </c>
      <c r="K4" s="6" t="s">
        <v>111</v>
      </c>
      <c r="L4" s="79" t="s">
        <v>257</v>
      </c>
      <c r="M4" s="24" t="s">
        <v>111</v>
      </c>
      <c r="N4" s="79" t="s">
        <v>262</v>
      </c>
      <c r="O4" s="6" t="s">
        <v>309</v>
      </c>
      <c r="P4" s="6" t="s">
        <v>311</v>
      </c>
      <c r="Q4" s="6" t="s">
        <v>327</v>
      </c>
      <c r="R4" s="6" t="s">
        <v>343</v>
      </c>
      <c r="S4" s="6" t="s">
        <v>370</v>
      </c>
      <c r="T4" s="266" t="s">
        <v>385</v>
      </c>
      <c r="U4" s="285" t="s">
        <v>111</v>
      </c>
      <c r="V4" s="79" t="s">
        <v>384</v>
      </c>
    </row>
    <row r="5" spans="1:22" x14ac:dyDescent="0.25">
      <c r="A5" s="103">
        <v>2</v>
      </c>
      <c r="B5" s="101" t="s">
        <v>0</v>
      </c>
      <c r="C5" s="3"/>
      <c r="D5" s="3"/>
      <c r="E5" s="7"/>
      <c r="F5" s="3" t="s">
        <v>24</v>
      </c>
      <c r="G5" s="3" t="s">
        <v>24</v>
      </c>
      <c r="H5" s="3" t="s">
        <v>24</v>
      </c>
      <c r="I5" s="3" t="s">
        <v>24</v>
      </c>
      <c r="J5" s="3" t="s">
        <v>24</v>
      </c>
      <c r="K5" s="3" t="s">
        <v>24</v>
      </c>
      <c r="L5" s="26" t="s">
        <v>24</v>
      </c>
      <c r="M5" s="26" t="s">
        <v>24</v>
      </c>
      <c r="N5" s="26" t="s">
        <v>24</v>
      </c>
      <c r="O5" s="3" t="s">
        <v>24</v>
      </c>
      <c r="P5" s="100" t="s">
        <v>24</v>
      </c>
      <c r="Q5" s="100" t="s">
        <v>24</v>
      </c>
      <c r="R5" s="100" t="s">
        <v>24</v>
      </c>
      <c r="S5" s="100" t="s">
        <v>24</v>
      </c>
      <c r="T5" s="267" t="s">
        <v>24</v>
      </c>
      <c r="U5" s="286" t="s">
        <v>24</v>
      </c>
      <c r="V5" s="26" t="s">
        <v>24</v>
      </c>
    </row>
    <row r="6" spans="1:22" x14ac:dyDescent="0.25">
      <c r="A6" s="103">
        <v>3</v>
      </c>
      <c r="B6" s="101" t="s">
        <v>25</v>
      </c>
      <c r="C6" s="3"/>
      <c r="D6" s="3"/>
      <c r="E6" s="7"/>
      <c r="F6" s="3"/>
      <c r="G6" s="3"/>
      <c r="H6" s="3"/>
      <c r="I6" s="3"/>
      <c r="J6" s="3"/>
      <c r="K6" s="3"/>
      <c r="L6" s="26"/>
      <c r="M6" s="3"/>
      <c r="N6" s="26"/>
      <c r="O6" s="9"/>
      <c r="P6" s="9"/>
      <c r="Q6" s="9"/>
      <c r="R6" s="9"/>
      <c r="S6" s="9"/>
      <c r="T6" s="259"/>
      <c r="U6" s="273"/>
      <c r="V6" s="26"/>
    </row>
    <row r="7" spans="1:22" x14ac:dyDescent="0.25">
      <c r="A7" s="24">
        <v>4</v>
      </c>
      <c r="B7" s="101"/>
      <c r="C7" s="3" t="s">
        <v>26</v>
      </c>
      <c r="D7" s="3"/>
      <c r="E7" s="7"/>
      <c r="F7" s="3"/>
      <c r="G7" s="3"/>
      <c r="H7" s="3"/>
      <c r="I7" s="3"/>
      <c r="J7" s="3"/>
      <c r="K7" s="3"/>
      <c r="L7" s="26"/>
      <c r="M7" s="3"/>
      <c r="N7" s="26"/>
      <c r="O7" s="9"/>
      <c r="P7" s="9"/>
      <c r="Q7" s="9"/>
      <c r="R7" s="9"/>
      <c r="S7" s="9"/>
      <c r="T7" s="259"/>
      <c r="U7" s="273"/>
      <c r="V7" s="26"/>
    </row>
    <row r="8" spans="1:22" x14ac:dyDescent="0.25">
      <c r="A8" s="24">
        <v>5</v>
      </c>
      <c r="B8" s="101" t="s">
        <v>28</v>
      </c>
      <c r="C8" s="16"/>
      <c r="D8" s="16"/>
      <c r="E8" s="17"/>
      <c r="F8" s="11">
        <f>+F9+F19+F20</f>
        <v>1008108</v>
      </c>
      <c r="G8" s="11">
        <f>G9+G19+G20</f>
        <v>2142126</v>
      </c>
      <c r="H8" s="11">
        <f t="shared" ref="H8:L8" si="0">H9+H19+H20</f>
        <v>1235092</v>
      </c>
      <c r="I8" s="11">
        <f t="shared" si="0"/>
        <v>163433</v>
      </c>
      <c r="J8" s="11">
        <f t="shared" si="0"/>
        <v>1413905</v>
      </c>
      <c r="K8" s="11">
        <f t="shared" si="0"/>
        <v>204294</v>
      </c>
      <c r="L8" s="31">
        <f t="shared" si="0"/>
        <v>1618199</v>
      </c>
      <c r="M8" s="8">
        <f>M9+M19+M20</f>
        <v>73487</v>
      </c>
      <c r="N8" s="88">
        <f>N9+N19+N20</f>
        <v>1691686</v>
      </c>
      <c r="O8" s="8">
        <f t="shared" ref="O8:S8" si="1">SUM(O9,O19,O20,O21)</f>
        <v>3224211</v>
      </c>
      <c r="P8" s="111">
        <f t="shared" si="1"/>
        <v>3196434</v>
      </c>
      <c r="Q8" s="111">
        <f t="shared" si="1"/>
        <v>3669231</v>
      </c>
      <c r="R8" s="111">
        <f t="shared" si="1"/>
        <v>4424427</v>
      </c>
      <c r="S8" s="111">
        <f t="shared" si="1"/>
        <v>4854398</v>
      </c>
      <c r="T8" s="112">
        <f>SUM(T9,T19,T20,T21)</f>
        <v>5439863</v>
      </c>
      <c r="U8" s="112">
        <f t="shared" ref="U8" si="2">SUM(U9,U19,U20,U21)</f>
        <v>238942</v>
      </c>
      <c r="V8" s="112">
        <f>SUM(V9,V19,V20,V21)</f>
        <v>5678805</v>
      </c>
    </row>
    <row r="9" spans="1:22" x14ac:dyDescent="0.25">
      <c r="A9" s="103">
        <v>6</v>
      </c>
      <c r="B9" s="102"/>
      <c r="C9" s="3" t="s">
        <v>29</v>
      </c>
      <c r="D9" s="3"/>
      <c r="E9" s="7"/>
      <c r="F9" s="9">
        <v>725903</v>
      </c>
      <c r="G9" s="9">
        <f>G10+G18</f>
        <v>1651066</v>
      </c>
      <c r="H9" s="9">
        <f t="shared" ref="H9:K9" si="3">H10+H18</f>
        <v>810436</v>
      </c>
      <c r="I9" s="9">
        <f t="shared" si="3"/>
        <v>163433</v>
      </c>
      <c r="J9" s="9">
        <v>989249</v>
      </c>
      <c r="K9" s="9">
        <f t="shared" si="3"/>
        <v>85861</v>
      </c>
      <c r="L9" s="80">
        <f>+L10+L18</f>
        <v>1075110</v>
      </c>
      <c r="M9" s="86">
        <f>+M10+M18</f>
        <v>27487</v>
      </c>
      <c r="N9" s="27">
        <f>L9+M9</f>
        <v>1102597</v>
      </c>
      <c r="O9" s="10">
        <f>O10+O18</f>
        <v>1005811</v>
      </c>
      <c r="P9" s="123">
        <f>SUM(P10,P17:P18)</f>
        <v>1725009</v>
      </c>
      <c r="Q9" s="123">
        <f>SUM(Q10,Q17:Q18)</f>
        <v>1625408</v>
      </c>
      <c r="R9" s="123">
        <f>SUM(R10,R17:R18)</f>
        <v>1717521</v>
      </c>
      <c r="S9" s="123">
        <f>SUM(S10,S17:S18)</f>
        <v>1910294</v>
      </c>
      <c r="T9" s="270">
        <f>SUM(T10,T17:T18)</f>
        <v>2277038</v>
      </c>
      <c r="U9" s="270">
        <f>+U10+U18</f>
        <v>202646</v>
      </c>
      <c r="V9" s="270">
        <f>SUM(T9:U9)</f>
        <v>2479684</v>
      </c>
    </row>
    <row r="10" spans="1:22" x14ac:dyDescent="0.25">
      <c r="A10" s="103">
        <v>7</v>
      </c>
      <c r="B10" s="102"/>
      <c r="C10" s="3"/>
      <c r="D10" s="3" t="s">
        <v>36</v>
      </c>
      <c r="E10" s="7"/>
      <c r="F10" s="9">
        <v>699843</v>
      </c>
      <c r="G10" s="9">
        <v>798289</v>
      </c>
      <c r="H10" s="9">
        <f>H11+H12+H13+H14+H15+H16</f>
        <v>763483</v>
      </c>
      <c r="I10" s="9">
        <f t="shared" ref="I10:M10" si="4">I11+I12+I13+I14+I15+I16</f>
        <v>5288</v>
      </c>
      <c r="J10" s="9">
        <v>784151</v>
      </c>
      <c r="K10" s="9">
        <f t="shared" si="4"/>
        <v>51453</v>
      </c>
      <c r="L10" s="29">
        <f t="shared" si="4"/>
        <v>835604</v>
      </c>
      <c r="M10" s="27">
        <f t="shared" si="4"/>
        <v>8487</v>
      </c>
      <c r="N10" s="27">
        <f t="shared" ref="N10:N19" si="5">L10+M10</f>
        <v>844091</v>
      </c>
      <c r="O10" s="11">
        <f>O11+O12+O13+O14</f>
        <v>790610</v>
      </c>
      <c r="P10" s="124">
        <f>SUM(P11:P16)</f>
        <v>1500181</v>
      </c>
      <c r="Q10" s="124">
        <f>SUM(Q11:Q16)</f>
        <v>1428691</v>
      </c>
      <c r="R10" s="124">
        <f>SUM(R11:R16)</f>
        <v>1669841</v>
      </c>
      <c r="S10" s="124">
        <f>SUM(S11:S16)</f>
        <v>1843834</v>
      </c>
      <c r="T10" s="268">
        <f>SUM(T11:T16)</f>
        <v>2192727</v>
      </c>
      <c r="U10" s="268">
        <f t="shared" ref="U10" si="6">U11+U12+U13+U14+U15+U16</f>
        <v>13661</v>
      </c>
      <c r="V10" s="268">
        <f>SUM(T10:U10)</f>
        <v>2206388</v>
      </c>
    </row>
    <row r="11" spans="1:22" ht="15.75" customHeight="1" x14ac:dyDescent="0.25">
      <c r="A11" s="24">
        <v>8</v>
      </c>
      <c r="B11" s="102"/>
      <c r="C11" s="3"/>
      <c r="D11" s="3"/>
      <c r="E11" s="18" t="s">
        <v>30</v>
      </c>
      <c r="F11" s="9">
        <v>116695</v>
      </c>
      <c r="G11" s="9">
        <v>117200</v>
      </c>
      <c r="H11" s="9">
        <v>132006</v>
      </c>
      <c r="I11" s="19">
        <v>1208</v>
      </c>
      <c r="J11" s="9">
        <f t="shared" ref="J11:J35" si="7">H11+I11</f>
        <v>133214</v>
      </c>
      <c r="K11" s="9">
        <f>1+6010+686</f>
        <v>6697</v>
      </c>
      <c r="L11" s="80">
        <f>K11+J11</f>
        <v>139911</v>
      </c>
      <c r="M11" s="10">
        <f>453</f>
        <v>453</v>
      </c>
      <c r="N11" s="27">
        <f t="shared" si="5"/>
        <v>140364</v>
      </c>
      <c r="O11" s="9">
        <v>126000</v>
      </c>
      <c r="P11" s="9">
        <v>487954</v>
      </c>
      <c r="Q11" s="9">
        <v>498865</v>
      </c>
      <c r="R11" s="9">
        <v>646586</v>
      </c>
      <c r="S11" s="9">
        <v>545431</v>
      </c>
      <c r="T11" s="269">
        <v>643124</v>
      </c>
      <c r="U11" s="269">
        <v>0</v>
      </c>
      <c r="V11" s="269">
        <f>SUM(T11:U11)</f>
        <v>643124</v>
      </c>
    </row>
    <row r="12" spans="1:22" ht="15" customHeight="1" x14ac:dyDescent="0.25">
      <c r="A12" s="24">
        <v>9</v>
      </c>
      <c r="B12" s="102"/>
      <c r="C12" s="3"/>
      <c r="D12" s="3"/>
      <c r="E12" s="18" t="s">
        <v>31</v>
      </c>
      <c r="F12" s="9">
        <v>278498</v>
      </c>
      <c r="G12" s="9">
        <v>280423</v>
      </c>
      <c r="H12" s="9">
        <v>284098</v>
      </c>
      <c r="I12" s="19">
        <v>0</v>
      </c>
      <c r="J12" s="9">
        <f t="shared" si="7"/>
        <v>284098</v>
      </c>
      <c r="K12" s="9">
        <f>4875</f>
        <v>4875</v>
      </c>
      <c r="L12" s="80">
        <f>K12+J12</f>
        <v>288973</v>
      </c>
      <c r="M12" s="10">
        <v>0</v>
      </c>
      <c r="N12" s="27">
        <f t="shared" si="5"/>
        <v>288973</v>
      </c>
      <c r="O12" s="9">
        <v>304063</v>
      </c>
      <c r="P12" s="9">
        <v>333675</v>
      </c>
      <c r="Q12" s="9">
        <v>394562</v>
      </c>
      <c r="R12" s="9">
        <v>394507</v>
      </c>
      <c r="S12" s="9">
        <v>588141</v>
      </c>
      <c r="T12" s="269">
        <v>744429</v>
      </c>
      <c r="U12" s="269">
        <v>-33723</v>
      </c>
      <c r="V12" s="269">
        <f t="shared" ref="V12:V35" si="8">SUM(T12:U12)</f>
        <v>710706</v>
      </c>
    </row>
    <row r="13" spans="1:22" ht="26.1" customHeight="1" x14ac:dyDescent="0.25">
      <c r="A13" s="103">
        <v>10</v>
      </c>
      <c r="B13" s="102"/>
      <c r="C13" s="78"/>
      <c r="D13" s="3"/>
      <c r="E13" s="20" t="s">
        <v>32</v>
      </c>
      <c r="F13" s="9">
        <v>259708</v>
      </c>
      <c r="G13" s="9">
        <v>316977</v>
      </c>
      <c r="H13" s="9">
        <v>302156</v>
      </c>
      <c r="I13" s="19">
        <v>1701</v>
      </c>
      <c r="J13" s="9">
        <f t="shared" si="7"/>
        <v>303857</v>
      </c>
      <c r="K13" s="9">
        <f>1150+23013+5033+8610</f>
        <v>37806</v>
      </c>
      <c r="L13" s="80">
        <f>K13+J13+15380</f>
        <v>357043</v>
      </c>
      <c r="M13" s="10">
        <f>5507</f>
        <v>5507</v>
      </c>
      <c r="N13" s="27">
        <f t="shared" si="5"/>
        <v>362550</v>
      </c>
      <c r="O13" s="9">
        <v>331321</v>
      </c>
      <c r="P13" s="9">
        <v>398011</v>
      </c>
      <c r="Q13" s="9">
        <v>466726</v>
      </c>
      <c r="R13" s="9">
        <v>494186</v>
      </c>
      <c r="S13" s="9">
        <v>621795</v>
      </c>
      <c r="T13" s="269">
        <v>715667</v>
      </c>
      <c r="U13" s="269">
        <v>47384</v>
      </c>
      <c r="V13" s="269">
        <f t="shared" si="8"/>
        <v>763051</v>
      </c>
    </row>
    <row r="14" spans="1:22" ht="15" customHeight="1" x14ac:dyDescent="0.25">
      <c r="A14" s="103">
        <v>11</v>
      </c>
      <c r="B14" s="102"/>
      <c r="C14" s="3"/>
      <c r="D14" s="3"/>
      <c r="E14" s="20" t="s">
        <v>33</v>
      </c>
      <c r="F14" s="9">
        <v>44942</v>
      </c>
      <c r="G14" s="9">
        <v>51075</v>
      </c>
      <c r="H14" s="9">
        <v>44866</v>
      </c>
      <c r="I14" s="19">
        <v>2379</v>
      </c>
      <c r="J14" s="9">
        <f t="shared" si="7"/>
        <v>47245</v>
      </c>
      <c r="K14" s="9">
        <f>963+1112</f>
        <v>2075</v>
      </c>
      <c r="L14" s="80">
        <f>J14+K14</f>
        <v>49320</v>
      </c>
      <c r="M14" s="10">
        <f>1803+724</f>
        <v>2527</v>
      </c>
      <c r="N14" s="27">
        <f t="shared" si="5"/>
        <v>51847</v>
      </c>
      <c r="O14" s="9">
        <v>29226</v>
      </c>
      <c r="P14" s="9">
        <v>50541</v>
      </c>
      <c r="Q14" s="9">
        <v>68538</v>
      </c>
      <c r="R14" s="9">
        <v>84562</v>
      </c>
      <c r="S14" s="9">
        <v>84768</v>
      </c>
      <c r="T14" s="269">
        <v>84547</v>
      </c>
      <c r="U14" s="269">
        <v>0</v>
      </c>
      <c r="V14" s="269">
        <f t="shared" si="8"/>
        <v>84547</v>
      </c>
    </row>
    <row r="15" spans="1:22" x14ac:dyDescent="0.25">
      <c r="A15" s="24">
        <v>12</v>
      </c>
      <c r="B15" s="102"/>
      <c r="C15" s="3"/>
      <c r="D15" s="3"/>
      <c r="E15" s="20" t="s">
        <v>34</v>
      </c>
      <c r="F15" s="19">
        <v>0</v>
      </c>
      <c r="G15" s="9">
        <v>32339</v>
      </c>
      <c r="H15" s="9">
        <v>357</v>
      </c>
      <c r="I15" s="19">
        <v>0</v>
      </c>
      <c r="J15" s="9">
        <f t="shared" si="7"/>
        <v>357</v>
      </c>
      <c r="K15" s="9">
        <v>0</v>
      </c>
      <c r="L15" s="80">
        <v>357</v>
      </c>
      <c r="M15" s="10">
        <v>0</v>
      </c>
      <c r="N15" s="27">
        <f t="shared" si="5"/>
        <v>357</v>
      </c>
      <c r="O15" s="9">
        <v>0</v>
      </c>
      <c r="P15" s="9">
        <v>230000</v>
      </c>
      <c r="Q15" s="9">
        <v>0</v>
      </c>
      <c r="R15" s="9">
        <v>50000</v>
      </c>
      <c r="S15" s="9">
        <v>0</v>
      </c>
      <c r="T15" s="269">
        <v>4633</v>
      </c>
      <c r="U15" s="269">
        <v>0</v>
      </c>
      <c r="V15" s="269">
        <f t="shared" si="8"/>
        <v>4633</v>
      </c>
    </row>
    <row r="16" spans="1:22" x14ac:dyDescent="0.25">
      <c r="A16" s="24">
        <v>13</v>
      </c>
      <c r="B16" s="102"/>
      <c r="C16" s="3"/>
      <c r="D16" s="3"/>
      <c r="E16" s="21" t="s">
        <v>35</v>
      </c>
      <c r="F16" s="9">
        <v>0</v>
      </c>
      <c r="G16" s="9">
        <v>275</v>
      </c>
      <c r="H16" s="9">
        <v>0</v>
      </c>
      <c r="I16" s="9">
        <v>0</v>
      </c>
      <c r="J16" s="9">
        <f>K15</f>
        <v>0</v>
      </c>
      <c r="K16" s="3">
        <v>0</v>
      </c>
      <c r="L16" s="80">
        <v>0</v>
      </c>
      <c r="M16" s="10">
        <v>0</v>
      </c>
      <c r="N16" s="27">
        <f t="shared" si="5"/>
        <v>0</v>
      </c>
      <c r="O16" s="9">
        <v>0</v>
      </c>
      <c r="P16" s="9">
        <v>0</v>
      </c>
      <c r="Q16" s="9">
        <v>0</v>
      </c>
      <c r="R16" s="9">
        <v>0</v>
      </c>
      <c r="S16" s="9">
        <v>3699</v>
      </c>
      <c r="T16" s="269">
        <v>327</v>
      </c>
      <c r="U16" s="269">
        <v>0</v>
      </c>
      <c r="V16" s="269">
        <f t="shared" si="8"/>
        <v>327</v>
      </c>
    </row>
    <row r="17" spans="1:22" x14ac:dyDescent="0.25">
      <c r="A17" s="103">
        <v>14</v>
      </c>
      <c r="B17" s="102"/>
      <c r="C17" s="3"/>
      <c r="D17" s="3" t="s">
        <v>47</v>
      </c>
      <c r="E17" s="21"/>
      <c r="F17" s="9">
        <v>0</v>
      </c>
      <c r="G17" s="9">
        <v>0</v>
      </c>
      <c r="H17" s="9">
        <v>0</v>
      </c>
      <c r="I17" s="9">
        <v>0</v>
      </c>
      <c r="J17" s="9">
        <f t="shared" si="7"/>
        <v>0</v>
      </c>
      <c r="K17" s="3">
        <f t="shared" ref="K17" si="9">+L17-J17</f>
        <v>0</v>
      </c>
      <c r="L17" s="80">
        <v>0</v>
      </c>
      <c r="M17" s="10">
        <v>0</v>
      </c>
      <c r="N17" s="27">
        <f t="shared" si="5"/>
        <v>0</v>
      </c>
      <c r="O17" s="9">
        <v>0</v>
      </c>
      <c r="P17" s="9">
        <v>0</v>
      </c>
      <c r="Q17" s="9">
        <v>0</v>
      </c>
      <c r="R17" s="9">
        <v>0</v>
      </c>
      <c r="S17" s="9">
        <v>16000</v>
      </c>
      <c r="T17" s="269">
        <v>16000</v>
      </c>
      <c r="U17" s="269">
        <v>0</v>
      </c>
      <c r="V17" s="269">
        <f t="shared" si="8"/>
        <v>16000</v>
      </c>
    </row>
    <row r="18" spans="1:22" x14ac:dyDescent="0.25">
      <c r="A18" s="103">
        <v>15</v>
      </c>
      <c r="B18" s="102"/>
      <c r="C18" s="3"/>
      <c r="D18" s="3" t="s">
        <v>37</v>
      </c>
      <c r="E18" s="21"/>
      <c r="F18" s="9">
        <v>26060</v>
      </c>
      <c r="G18" s="9">
        <v>852777</v>
      </c>
      <c r="H18" s="9">
        <f>32105+14848</f>
        <v>46953</v>
      </c>
      <c r="I18" s="9">
        <v>158145</v>
      </c>
      <c r="J18" s="9">
        <f t="shared" si="7"/>
        <v>205098</v>
      </c>
      <c r="K18" s="9">
        <f>2724+720+1376+717+6677+657+2750+2812+11441+4534</f>
        <v>34408</v>
      </c>
      <c r="L18" s="80">
        <f>K18+J18</f>
        <v>239506</v>
      </c>
      <c r="M18" s="10">
        <f>938+240+697+2160+1215+284+14178-712</f>
        <v>19000</v>
      </c>
      <c r="N18" s="27">
        <f t="shared" si="5"/>
        <v>258506</v>
      </c>
      <c r="O18" s="9">
        <v>215201</v>
      </c>
      <c r="P18" s="9">
        <v>224828</v>
      </c>
      <c r="Q18" s="9">
        <v>196717</v>
      </c>
      <c r="R18" s="9">
        <v>47680</v>
      </c>
      <c r="S18" s="9">
        <v>50460</v>
      </c>
      <c r="T18" s="269">
        <v>68311</v>
      </c>
      <c r="U18" s="269">
        <v>188985</v>
      </c>
      <c r="V18" s="269">
        <f t="shared" si="8"/>
        <v>257296</v>
      </c>
    </row>
    <row r="19" spans="1:22" x14ac:dyDescent="0.25">
      <c r="A19" s="24">
        <v>16</v>
      </c>
      <c r="B19" s="102"/>
      <c r="C19" s="3" t="s">
        <v>38</v>
      </c>
      <c r="D19" s="3"/>
      <c r="E19" s="21"/>
      <c r="F19" s="9">
        <v>282205</v>
      </c>
      <c r="G19" s="9">
        <v>371105</v>
      </c>
      <c r="H19" s="10">
        <v>424656</v>
      </c>
      <c r="I19" s="9">
        <v>0</v>
      </c>
      <c r="J19" s="9">
        <f t="shared" si="7"/>
        <v>424656</v>
      </c>
      <c r="K19" s="42">
        <v>118433</v>
      </c>
      <c r="L19" s="80">
        <f>K19+J19</f>
        <v>543089</v>
      </c>
      <c r="M19" s="10">
        <f>46000</f>
        <v>46000</v>
      </c>
      <c r="N19" s="27">
        <f t="shared" si="5"/>
        <v>589089</v>
      </c>
      <c r="O19" s="9">
        <v>468200</v>
      </c>
      <c r="P19" s="9">
        <v>414425</v>
      </c>
      <c r="Q19" s="9">
        <v>476823</v>
      </c>
      <c r="R19" s="9">
        <v>732906</v>
      </c>
      <c r="S19" s="9">
        <v>628104</v>
      </c>
      <c r="T19" s="269">
        <v>618825</v>
      </c>
      <c r="U19" s="269">
        <v>36296</v>
      </c>
      <c r="V19" s="269">
        <f t="shared" si="8"/>
        <v>655121</v>
      </c>
    </row>
    <row r="20" spans="1:22" x14ac:dyDescent="0.25">
      <c r="A20" s="24">
        <v>17</v>
      </c>
      <c r="B20" s="102"/>
      <c r="C20" s="3" t="s">
        <v>39</v>
      </c>
      <c r="D20" s="3"/>
      <c r="E20" s="21"/>
      <c r="F20" s="9">
        <v>0</v>
      </c>
      <c r="G20" s="9">
        <v>119955</v>
      </c>
      <c r="H20" s="10">
        <v>0</v>
      </c>
      <c r="I20" s="9">
        <v>0</v>
      </c>
      <c r="J20" s="9">
        <f t="shared" si="7"/>
        <v>0</v>
      </c>
      <c r="K20" s="3">
        <f>+L20-J20</f>
        <v>0</v>
      </c>
      <c r="L20" s="29">
        <v>0</v>
      </c>
      <c r="M20" s="8">
        <v>0</v>
      </c>
      <c r="N20" s="27">
        <f t="shared" ref="N20" si="10">L20+M20</f>
        <v>0</v>
      </c>
      <c r="O20" s="9">
        <v>9200</v>
      </c>
      <c r="P20" s="9">
        <v>0</v>
      </c>
      <c r="Q20" s="9">
        <v>0</v>
      </c>
      <c r="R20" s="9">
        <v>0</v>
      </c>
      <c r="S20" s="9">
        <v>0</v>
      </c>
      <c r="T20" s="269">
        <v>100000</v>
      </c>
      <c r="U20" s="269">
        <v>0</v>
      </c>
      <c r="V20" s="269">
        <f t="shared" si="8"/>
        <v>100000</v>
      </c>
    </row>
    <row r="21" spans="1:22" x14ac:dyDescent="0.25">
      <c r="A21" s="103">
        <v>18</v>
      </c>
      <c r="B21" s="102"/>
      <c r="C21" s="3" t="s">
        <v>304</v>
      </c>
      <c r="D21" s="3"/>
      <c r="E21" s="21"/>
      <c r="F21" s="9"/>
      <c r="G21" s="9"/>
      <c r="H21" s="10"/>
      <c r="I21" s="9"/>
      <c r="J21" s="9"/>
      <c r="K21" s="3"/>
      <c r="L21" s="29"/>
      <c r="M21" s="88"/>
      <c r="N21" s="27"/>
      <c r="O21" s="9">
        <f t="shared" ref="O21:S21" si="11">SUM(O22:O25)</f>
        <v>1741000</v>
      </c>
      <c r="P21" s="123">
        <f t="shared" si="11"/>
        <v>1057000</v>
      </c>
      <c r="Q21" s="123">
        <f t="shared" si="11"/>
        <v>1567000</v>
      </c>
      <c r="R21" s="123">
        <f t="shared" si="11"/>
        <v>1974000</v>
      </c>
      <c r="S21" s="123">
        <f t="shared" si="11"/>
        <v>2316000</v>
      </c>
      <c r="T21" s="270">
        <f>SUM(T22:T25)</f>
        <v>2444000</v>
      </c>
      <c r="U21" s="270">
        <f>SUM(U22:U25)</f>
        <v>0</v>
      </c>
      <c r="V21" s="270">
        <f>SUM(V22:V25)</f>
        <v>2444000</v>
      </c>
    </row>
    <row r="22" spans="1:22" x14ac:dyDescent="0.25">
      <c r="A22" s="103">
        <v>19</v>
      </c>
      <c r="B22" s="102"/>
      <c r="C22" s="3"/>
      <c r="D22" s="3" t="s">
        <v>306</v>
      </c>
      <c r="E22" s="21"/>
      <c r="F22" s="9"/>
      <c r="G22" s="9"/>
      <c r="H22" s="10"/>
      <c r="I22" s="9"/>
      <c r="J22" s="9"/>
      <c r="K22" s="3"/>
      <c r="L22" s="29"/>
      <c r="M22" s="88"/>
      <c r="N22" s="27"/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269">
        <v>0</v>
      </c>
      <c r="U22" s="269">
        <v>0</v>
      </c>
      <c r="V22" s="269">
        <f t="shared" si="8"/>
        <v>0</v>
      </c>
    </row>
    <row r="23" spans="1:22" x14ac:dyDescent="0.25">
      <c r="A23" s="24">
        <v>20</v>
      </c>
      <c r="B23" s="102"/>
      <c r="C23" s="3"/>
      <c r="D23" s="3" t="s">
        <v>305</v>
      </c>
      <c r="E23" s="21"/>
      <c r="F23" s="9"/>
      <c r="G23" s="9"/>
      <c r="H23" s="10"/>
      <c r="I23" s="9"/>
      <c r="J23" s="9"/>
      <c r="K23" s="3"/>
      <c r="L23" s="29"/>
      <c r="M23" s="88"/>
      <c r="N23" s="27"/>
      <c r="O23" s="9">
        <v>516000</v>
      </c>
      <c r="P23" s="9">
        <v>280000</v>
      </c>
      <c r="Q23" s="9">
        <v>360000</v>
      </c>
      <c r="R23" s="9">
        <v>395000</v>
      </c>
      <c r="S23" s="9">
        <v>400000</v>
      </c>
      <c r="T23" s="269">
        <v>405000</v>
      </c>
      <c r="U23" s="269">
        <v>0</v>
      </c>
      <c r="V23" s="269">
        <f t="shared" si="8"/>
        <v>405000</v>
      </c>
    </row>
    <row r="24" spans="1:22" x14ac:dyDescent="0.25">
      <c r="A24" s="24">
        <v>21</v>
      </c>
      <c r="B24" s="102"/>
      <c r="C24" s="3"/>
      <c r="D24" s="3" t="s">
        <v>307</v>
      </c>
      <c r="E24" s="21"/>
      <c r="F24" s="9"/>
      <c r="G24" s="9"/>
      <c r="H24" s="10"/>
      <c r="I24" s="9"/>
      <c r="J24" s="9"/>
      <c r="K24" s="3"/>
      <c r="L24" s="29"/>
      <c r="M24" s="88"/>
      <c r="N24" s="27"/>
      <c r="O24" s="9">
        <v>1223000</v>
      </c>
      <c r="P24" s="9">
        <v>775000</v>
      </c>
      <c r="Q24" s="9">
        <v>1205000</v>
      </c>
      <c r="R24" s="9">
        <v>1575000</v>
      </c>
      <c r="S24" s="9">
        <v>1910000</v>
      </c>
      <c r="T24" s="269">
        <v>2035000</v>
      </c>
      <c r="U24" s="269">
        <v>0</v>
      </c>
      <c r="V24" s="269">
        <f t="shared" si="8"/>
        <v>2035000</v>
      </c>
    </row>
    <row r="25" spans="1:22" x14ac:dyDescent="0.25">
      <c r="A25" s="103">
        <v>22</v>
      </c>
      <c r="B25" s="102"/>
      <c r="C25" s="3"/>
      <c r="D25" s="3" t="s">
        <v>308</v>
      </c>
      <c r="E25" s="21"/>
      <c r="F25" s="9"/>
      <c r="G25" s="9"/>
      <c r="H25" s="10"/>
      <c r="I25" s="9"/>
      <c r="J25" s="9"/>
      <c r="K25" s="3"/>
      <c r="L25" s="29"/>
      <c r="M25" s="88"/>
      <c r="N25" s="27"/>
      <c r="O25" s="9">
        <v>2000</v>
      </c>
      <c r="P25" s="9">
        <v>2000</v>
      </c>
      <c r="Q25" s="9">
        <v>2000</v>
      </c>
      <c r="R25" s="9">
        <v>4000</v>
      </c>
      <c r="S25" s="9">
        <v>6000</v>
      </c>
      <c r="T25" s="269">
        <v>4000</v>
      </c>
      <c r="U25" s="269">
        <v>0</v>
      </c>
      <c r="V25" s="269">
        <f t="shared" si="8"/>
        <v>4000</v>
      </c>
    </row>
    <row r="26" spans="1:22" x14ac:dyDescent="0.25">
      <c r="A26" s="103">
        <v>23</v>
      </c>
      <c r="B26" s="101" t="s">
        <v>40</v>
      </c>
      <c r="C26" s="16"/>
      <c r="D26" s="16"/>
      <c r="E26" s="17"/>
      <c r="F26" s="11">
        <f>SUM(F27:F31)</f>
        <v>5000</v>
      </c>
      <c r="G26" s="11">
        <f>SUM(G27:G31)</f>
        <v>2063047</v>
      </c>
      <c r="H26" s="8" t="e">
        <f>#REF!+#REF!+#REF!+H30+H31+H28+H29+#REF!+H27</f>
        <v>#REF!</v>
      </c>
      <c r="I26" s="8" t="e">
        <f>#REF!+#REF!+#REF!+I30+I31+I28+I29+#REF!+I27</f>
        <v>#REF!</v>
      </c>
      <c r="J26" s="8" t="e">
        <f>#REF!+#REF!+#REF!+J30+J31+J28+J29+#REF!+J27</f>
        <v>#REF!</v>
      </c>
      <c r="K26" s="8" t="e">
        <f>#REF!+#REF!+#REF!+K30+K31+K28+K29+#REF!+K27</f>
        <v>#REF!</v>
      </c>
      <c r="L26" s="81">
        <f t="shared" ref="L26:Q26" si="12">SUM(L27:L31)</f>
        <v>109000</v>
      </c>
      <c r="M26" s="87">
        <f t="shared" si="12"/>
        <v>150000</v>
      </c>
      <c r="N26" s="87">
        <f t="shared" si="12"/>
        <v>259000</v>
      </c>
      <c r="O26" s="91">
        <f t="shared" si="12"/>
        <v>255259</v>
      </c>
      <c r="P26" s="111">
        <f t="shared" si="12"/>
        <v>109165</v>
      </c>
      <c r="Q26" s="111">
        <f t="shared" si="12"/>
        <v>8057163</v>
      </c>
      <c r="R26" s="111">
        <f t="shared" ref="R26:S26" si="13">SUM(R27:R31)</f>
        <v>3509130</v>
      </c>
      <c r="S26" s="111">
        <f t="shared" si="13"/>
        <v>2760706</v>
      </c>
      <c r="T26" s="112">
        <f>SUM(T27:T31)</f>
        <v>1052739</v>
      </c>
      <c r="U26" s="112">
        <f t="shared" ref="U26:V26" si="14">SUM(U27:U31)</f>
        <v>273793</v>
      </c>
      <c r="V26" s="112">
        <f t="shared" si="14"/>
        <v>1326532</v>
      </c>
    </row>
    <row r="27" spans="1:22" x14ac:dyDescent="0.25">
      <c r="A27" s="24">
        <v>24</v>
      </c>
      <c r="B27" s="102"/>
      <c r="C27" s="3" t="s">
        <v>41</v>
      </c>
      <c r="D27" s="3"/>
      <c r="E27" s="7"/>
      <c r="F27" s="9">
        <v>0</v>
      </c>
      <c r="G27" s="9">
        <v>448150</v>
      </c>
      <c r="H27" s="10">
        <v>0</v>
      </c>
      <c r="I27" s="9">
        <v>0</v>
      </c>
      <c r="J27" s="9">
        <f t="shared" si="7"/>
        <v>0</v>
      </c>
      <c r="K27" s="9">
        <f t="shared" ref="K27:K31" si="15">+L27-J27</f>
        <v>0</v>
      </c>
      <c r="L27" s="80">
        <v>0</v>
      </c>
      <c r="M27" s="10">
        <v>0</v>
      </c>
      <c r="N27" s="27">
        <v>0</v>
      </c>
      <c r="O27" s="9">
        <v>0</v>
      </c>
      <c r="P27" s="9">
        <v>0</v>
      </c>
      <c r="Q27" s="9"/>
      <c r="R27" s="9">
        <v>0</v>
      </c>
      <c r="S27" s="9">
        <v>0</v>
      </c>
      <c r="T27" s="269">
        <v>0</v>
      </c>
      <c r="U27" s="269">
        <v>0</v>
      </c>
      <c r="V27" s="269">
        <f t="shared" si="8"/>
        <v>0</v>
      </c>
    </row>
    <row r="28" spans="1:22" x14ac:dyDescent="0.25">
      <c r="A28" s="24">
        <v>25</v>
      </c>
      <c r="B28" s="102"/>
      <c r="C28" s="3" t="s">
        <v>94</v>
      </c>
      <c r="D28" s="3"/>
      <c r="E28" s="7"/>
      <c r="F28" s="9">
        <v>0</v>
      </c>
      <c r="G28" s="9">
        <v>0</v>
      </c>
      <c r="H28" s="10">
        <v>0</v>
      </c>
      <c r="I28" s="9">
        <v>0</v>
      </c>
      <c r="J28" s="9">
        <f t="shared" si="7"/>
        <v>0</v>
      </c>
      <c r="K28" s="9">
        <f t="shared" si="15"/>
        <v>0</v>
      </c>
      <c r="L28" s="80">
        <v>0</v>
      </c>
      <c r="M28" s="10">
        <v>0</v>
      </c>
      <c r="N28" s="27">
        <v>0</v>
      </c>
      <c r="O28" s="9">
        <v>0</v>
      </c>
      <c r="P28" s="9">
        <v>0</v>
      </c>
      <c r="Q28" s="9"/>
      <c r="R28" s="9">
        <v>0</v>
      </c>
      <c r="S28" s="9">
        <v>0</v>
      </c>
      <c r="T28" s="269">
        <v>0</v>
      </c>
      <c r="U28" s="269">
        <v>0</v>
      </c>
      <c r="V28" s="269">
        <f t="shared" si="8"/>
        <v>0</v>
      </c>
    </row>
    <row r="29" spans="1:22" x14ac:dyDescent="0.25">
      <c r="A29" s="103">
        <v>26</v>
      </c>
      <c r="B29" s="102"/>
      <c r="C29" s="3" t="s">
        <v>42</v>
      </c>
      <c r="D29" s="3"/>
      <c r="E29" s="7"/>
      <c r="F29" s="9">
        <v>0</v>
      </c>
      <c r="G29" s="9">
        <v>1530324</v>
      </c>
      <c r="H29" s="10">
        <v>0</v>
      </c>
      <c r="I29" s="9">
        <v>4000</v>
      </c>
      <c r="J29" s="9">
        <f t="shared" si="7"/>
        <v>4000</v>
      </c>
      <c r="K29" s="9">
        <f t="shared" si="15"/>
        <v>0</v>
      </c>
      <c r="L29" s="80">
        <v>4000</v>
      </c>
      <c r="M29" s="10">
        <v>0</v>
      </c>
      <c r="N29" s="27">
        <v>4000</v>
      </c>
      <c r="O29" s="9">
        <v>59999</v>
      </c>
      <c r="P29" s="9">
        <v>35005</v>
      </c>
      <c r="Q29" s="9">
        <v>7864736</v>
      </c>
      <c r="R29" s="9">
        <v>3117203</v>
      </c>
      <c r="S29" s="9">
        <v>2530054</v>
      </c>
      <c r="T29" s="269">
        <v>704629</v>
      </c>
      <c r="U29" s="269">
        <v>273793</v>
      </c>
      <c r="V29" s="269">
        <f t="shared" si="8"/>
        <v>978422</v>
      </c>
    </row>
    <row r="30" spans="1:22" x14ac:dyDescent="0.25">
      <c r="A30" s="103">
        <v>27</v>
      </c>
      <c r="B30" s="102"/>
      <c r="C30" s="3" t="s">
        <v>44</v>
      </c>
      <c r="D30" s="3"/>
      <c r="E30" s="7"/>
      <c r="F30" s="9">
        <v>5000</v>
      </c>
      <c r="G30" s="9">
        <v>48320</v>
      </c>
      <c r="H30" s="10">
        <v>105000</v>
      </c>
      <c r="I30" s="9">
        <v>0</v>
      </c>
      <c r="J30" s="9">
        <f t="shared" si="7"/>
        <v>105000</v>
      </c>
      <c r="K30" s="9">
        <f t="shared" si="15"/>
        <v>0</v>
      </c>
      <c r="L30" s="80">
        <v>105000</v>
      </c>
      <c r="M30" s="10">
        <v>0</v>
      </c>
      <c r="N30" s="27">
        <v>105000</v>
      </c>
      <c r="O30" s="9">
        <v>195260</v>
      </c>
      <c r="P30" s="9">
        <v>74000</v>
      </c>
      <c r="Q30" s="9">
        <v>178300</v>
      </c>
      <c r="R30" s="9">
        <v>366800</v>
      </c>
      <c r="S30" s="9">
        <v>157407</v>
      </c>
      <c r="T30" s="269">
        <v>272390</v>
      </c>
      <c r="U30" s="269">
        <v>0</v>
      </c>
      <c r="V30" s="269">
        <f t="shared" si="8"/>
        <v>272390</v>
      </c>
    </row>
    <row r="31" spans="1:22" x14ac:dyDescent="0.25">
      <c r="A31" s="24">
        <v>28</v>
      </c>
      <c r="B31" s="102"/>
      <c r="C31" s="3" t="s">
        <v>43</v>
      </c>
      <c r="D31" s="3"/>
      <c r="E31" s="7"/>
      <c r="F31" s="9">
        <v>0</v>
      </c>
      <c r="G31" s="9">
        <v>36253</v>
      </c>
      <c r="H31" s="10">
        <v>0</v>
      </c>
      <c r="I31" s="9">
        <v>0</v>
      </c>
      <c r="J31" s="9">
        <f t="shared" si="7"/>
        <v>0</v>
      </c>
      <c r="K31" s="9">
        <f t="shared" si="15"/>
        <v>0</v>
      </c>
      <c r="L31" s="80">
        <v>0</v>
      </c>
      <c r="M31" s="10">
        <f>150000</f>
        <v>150000</v>
      </c>
      <c r="N31" s="27">
        <v>150000</v>
      </c>
      <c r="O31" s="9">
        <v>0</v>
      </c>
      <c r="P31" s="9">
        <v>160</v>
      </c>
      <c r="Q31" s="9">
        <v>14127</v>
      </c>
      <c r="R31" s="9">
        <v>25127</v>
      </c>
      <c r="S31" s="9">
        <v>73245</v>
      </c>
      <c r="T31" s="269">
        <v>75720</v>
      </c>
      <c r="U31" s="269">
        <v>0</v>
      </c>
      <c r="V31" s="269">
        <f t="shared" si="8"/>
        <v>75720</v>
      </c>
    </row>
    <row r="32" spans="1:22" x14ac:dyDescent="0.25">
      <c r="A32" s="24">
        <v>29</v>
      </c>
      <c r="B32" s="101" t="s">
        <v>45</v>
      </c>
      <c r="C32" s="16"/>
      <c r="D32" s="16"/>
      <c r="E32" s="17"/>
      <c r="F32" s="11">
        <f>F33+F35</f>
        <v>5148041</v>
      </c>
      <c r="G32" s="11">
        <f>G33+G35</f>
        <v>6098847</v>
      </c>
      <c r="H32" s="8">
        <f>H33+H35</f>
        <v>4157416</v>
      </c>
      <c r="I32" s="8">
        <f>I33+I35</f>
        <v>540898</v>
      </c>
      <c r="J32" s="11">
        <f t="shared" si="7"/>
        <v>4698314</v>
      </c>
      <c r="K32" s="11">
        <f>+L32-J32</f>
        <v>0</v>
      </c>
      <c r="L32" s="81">
        <f>SUM(L33:L35)</f>
        <v>4698314</v>
      </c>
      <c r="M32" s="87">
        <f>SUM(M33:M35)</f>
        <v>0</v>
      </c>
      <c r="N32" s="87">
        <f t="shared" ref="N32:O32" si="16">SUM(N33:N35)</f>
        <v>4698314</v>
      </c>
      <c r="O32" s="91">
        <f t="shared" si="16"/>
        <v>1882279</v>
      </c>
      <c r="P32" s="111">
        <f t="shared" ref="P32:U32" si="17">SUM(P33:P35)</f>
        <v>1834606</v>
      </c>
      <c r="Q32" s="111">
        <f t="shared" si="17"/>
        <v>4605090</v>
      </c>
      <c r="R32" s="111">
        <f t="shared" si="17"/>
        <v>4014000</v>
      </c>
      <c r="S32" s="111">
        <f t="shared" si="17"/>
        <v>1945960</v>
      </c>
      <c r="T32" s="112">
        <f t="shared" si="17"/>
        <v>794500</v>
      </c>
      <c r="U32" s="112">
        <f t="shared" si="17"/>
        <v>4863</v>
      </c>
      <c r="V32" s="112">
        <f t="shared" ref="V32" si="18">SUM(V33:V35)</f>
        <v>799363</v>
      </c>
    </row>
    <row r="33" spans="1:22" x14ac:dyDescent="0.25">
      <c r="A33" s="103">
        <v>30</v>
      </c>
      <c r="B33" s="102"/>
      <c r="C33" s="3" t="s">
        <v>46</v>
      </c>
      <c r="D33" s="3"/>
      <c r="E33" s="7"/>
      <c r="F33" s="9">
        <v>3648041</v>
      </c>
      <c r="G33" s="9">
        <v>4203234</v>
      </c>
      <c r="H33" s="9">
        <v>3761803</v>
      </c>
      <c r="I33" s="9">
        <v>540898</v>
      </c>
      <c r="J33" s="9">
        <f t="shared" si="7"/>
        <v>4302701</v>
      </c>
      <c r="K33" s="9">
        <v>0</v>
      </c>
      <c r="L33" s="80">
        <v>4302701</v>
      </c>
      <c r="M33" s="10">
        <v>0</v>
      </c>
      <c r="N33" s="27">
        <v>4302701</v>
      </c>
      <c r="O33" s="9">
        <v>1882279</v>
      </c>
      <c r="P33" s="9">
        <v>1834606</v>
      </c>
      <c r="Q33" s="9">
        <v>4605090</v>
      </c>
      <c r="R33" s="9">
        <v>4014000</v>
      </c>
      <c r="S33" s="14">
        <v>1945960</v>
      </c>
      <c r="T33" s="269">
        <v>794500</v>
      </c>
      <c r="U33" s="269">
        <v>1239</v>
      </c>
      <c r="V33" s="269">
        <f t="shared" si="8"/>
        <v>795739</v>
      </c>
    </row>
    <row r="34" spans="1:22" x14ac:dyDescent="0.25">
      <c r="A34" s="103">
        <v>31</v>
      </c>
      <c r="B34" s="102"/>
      <c r="C34" s="3" t="s">
        <v>393</v>
      </c>
      <c r="D34" s="3"/>
      <c r="E34" s="7"/>
      <c r="F34" s="9"/>
      <c r="G34" s="9"/>
      <c r="H34" s="9"/>
      <c r="I34" s="9"/>
      <c r="J34" s="9"/>
      <c r="K34" s="9"/>
      <c r="L34" s="80"/>
      <c r="M34" s="10"/>
      <c r="N34" s="27"/>
      <c r="O34" s="9"/>
      <c r="P34" s="9"/>
      <c r="Q34" s="9"/>
      <c r="R34" s="9"/>
      <c r="S34" s="14">
        <v>0</v>
      </c>
      <c r="T34" s="269">
        <v>0</v>
      </c>
      <c r="U34" s="269">
        <v>3624</v>
      </c>
      <c r="V34" s="269">
        <f t="shared" si="8"/>
        <v>3624</v>
      </c>
    </row>
    <row r="35" spans="1:22" x14ac:dyDescent="0.25">
      <c r="A35" s="103">
        <v>32</v>
      </c>
      <c r="B35" s="102"/>
      <c r="C35" s="3" t="s">
        <v>383</v>
      </c>
      <c r="D35" s="3"/>
      <c r="E35" s="7"/>
      <c r="F35" s="9">
        <v>1500000</v>
      </c>
      <c r="G35" s="9">
        <v>1895613</v>
      </c>
      <c r="H35" s="9">
        <v>395613</v>
      </c>
      <c r="I35" s="9">
        <v>0</v>
      </c>
      <c r="J35" s="9">
        <f t="shared" si="7"/>
        <v>395613</v>
      </c>
      <c r="K35" s="9">
        <f t="shared" ref="K35" si="19">+L35-J35</f>
        <v>0</v>
      </c>
      <c r="L35" s="80">
        <v>395613</v>
      </c>
      <c r="M35" s="10">
        <v>0</v>
      </c>
      <c r="N35" s="27">
        <v>395613</v>
      </c>
      <c r="O35" s="9">
        <v>0</v>
      </c>
      <c r="P35" s="9">
        <v>0</v>
      </c>
      <c r="Q35" s="9">
        <v>0</v>
      </c>
      <c r="R35" s="9"/>
      <c r="S35" s="9">
        <v>0</v>
      </c>
      <c r="T35" s="269">
        <v>0</v>
      </c>
      <c r="U35" s="269">
        <v>0</v>
      </c>
      <c r="V35" s="269">
        <f t="shared" si="8"/>
        <v>0</v>
      </c>
    </row>
    <row r="36" spans="1:22" x14ac:dyDescent="0.25">
      <c r="A36" s="24">
        <v>33</v>
      </c>
      <c r="B36" s="101" t="s">
        <v>19</v>
      </c>
      <c r="C36" s="16"/>
      <c r="D36" s="16"/>
      <c r="E36" s="17"/>
      <c r="F36" s="11">
        <f>+F32+F26+F8</f>
        <v>6161149</v>
      </c>
      <c r="G36" s="11">
        <f>+G32+G26+G8</f>
        <v>10304020</v>
      </c>
      <c r="H36" s="11" t="e">
        <f>H32+H26+H8</f>
        <v>#REF!</v>
      </c>
      <c r="I36" s="11" t="e">
        <f>I32+I26+I8</f>
        <v>#REF!</v>
      </c>
      <c r="J36" s="11" t="e">
        <f>J32+J26+J8</f>
        <v>#REF!</v>
      </c>
      <c r="K36" s="11" t="e">
        <f>K32+K26+K8</f>
        <v>#REF!</v>
      </c>
      <c r="L36" s="31">
        <f>+L32+L26+L8</f>
        <v>6425513</v>
      </c>
      <c r="M36" s="88">
        <f>+M32+M26+M8</f>
        <v>223487</v>
      </c>
      <c r="N36" s="88">
        <f>+N32+N26+N8</f>
        <v>6649000</v>
      </c>
      <c r="O36" s="8">
        <f>+O32+O26+O8</f>
        <v>5361749</v>
      </c>
      <c r="P36" s="99">
        <f>SUM(P8,P26,P32)</f>
        <v>5140205</v>
      </c>
      <c r="Q36" s="99">
        <f>SUM(Q8,Q26,Q32)</f>
        <v>16331484</v>
      </c>
      <c r="R36" s="99">
        <f>SUM(R8,R26,R32)</f>
        <v>11947557</v>
      </c>
      <c r="S36" s="99">
        <f>SUM(S8,S26,S32)</f>
        <v>9561064</v>
      </c>
      <c r="T36" s="112">
        <f>SUM(T8,T26,T32)</f>
        <v>7287102</v>
      </c>
      <c r="U36" s="112">
        <f>+U32+U26+U8</f>
        <v>517598</v>
      </c>
      <c r="V36" s="112">
        <f>+V32+V26+V8</f>
        <v>7804700</v>
      </c>
    </row>
    <row r="37" spans="1:22" ht="84.75" customHeight="1" x14ac:dyDescent="0.25">
      <c r="A37" s="103">
        <v>34</v>
      </c>
      <c r="B37" s="101" t="s">
        <v>374</v>
      </c>
      <c r="C37" s="3"/>
      <c r="D37" s="3"/>
      <c r="E37" s="7"/>
      <c r="F37" s="15" t="s">
        <v>107</v>
      </c>
      <c r="G37" s="6" t="s">
        <v>113</v>
      </c>
      <c r="H37" s="6" t="s">
        <v>112</v>
      </c>
      <c r="I37" s="24" t="s">
        <v>111</v>
      </c>
      <c r="J37" s="6" t="s">
        <v>115</v>
      </c>
      <c r="K37" s="24" t="s">
        <v>111</v>
      </c>
      <c r="L37" s="79" t="s">
        <v>257</v>
      </c>
      <c r="M37" s="89" t="s">
        <v>111</v>
      </c>
      <c r="N37" s="79" t="s">
        <v>262</v>
      </c>
      <c r="O37" s="6" t="str">
        <f>$O$4</f>
        <v>Előirányzat
4/2020. (III.05.) önkormányzati rendelet</v>
      </c>
      <c r="P37" s="6" t="s">
        <v>311</v>
      </c>
      <c r="Q37" s="6" t="str">
        <f>Q$4</f>
        <v>Előirányzat
3/2022. (II.10.) önkormányzati rendelet</v>
      </c>
      <c r="R37" s="6" t="str">
        <f>R$4</f>
        <v>Előirányzat
1./2023. (II.23.) önkormányzati rendelet</v>
      </c>
      <c r="S37" s="6" t="str">
        <f>S$4</f>
        <v>Előirányzat
1./2024. (II)22. önkormányzati rendelet</v>
      </c>
      <c r="T37" s="266" t="str">
        <f>T$4</f>
        <v>Előirányzat
2/2025. (II.20.) önkormányzati rendelet</v>
      </c>
      <c r="U37" s="266" t="s">
        <v>111</v>
      </c>
      <c r="V37" s="266" t="str">
        <f>V4</f>
        <v>Módosított előirányzat</v>
      </c>
    </row>
    <row r="38" spans="1:22" x14ac:dyDescent="0.25">
      <c r="A38" s="24">
        <v>35</v>
      </c>
      <c r="B38" s="101" t="s">
        <v>25</v>
      </c>
      <c r="C38" s="3"/>
      <c r="D38" s="3"/>
      <c r="E38" s="7"/>
      <c r="F38" s="9"/>
      <c r="G38" s="3"/>
      <c r="H38" s="9"/>
      <c r="I38" s="3"/>
      <c r="J38" s="3"/>
      <c r="K38" s="3"/>
      <c r="L38" s="29"/>
      <c r="M38" s="50"/>
      <c r="N38" s="94"/>
      <c r="O38" s="3"/>
      <c r="P38" s="3"/>
      <c r="Q38" s="3"/>
      <c r="R38" s="3"/>
      <c r="S38" s="3"/>
      <c r="T38" s="273"/>
      <c r="U38" s="273"/>
      <c r="V38" s="273"/>
    </row>
    <row r="39" spans="1:22" x14ac:dyDescent="0.25">
      <c r="A39" s="103">
        <v>36</v>
      </c>
      <c r="B39" s="101"/>
      <c r="C39" s="3" t="s">
        <v>26</v>
      </c>
      <c r="D39" s="3"/>
      <c r="E39" s="7"/>
      <c r="F39" s="9"/>
      <c r="G39" s="3"/>
      <c r="H39" s="9"/>
      <c r="I39" s="3"/>
      <c r="J39" s="3"/>
      <c r="K39" s="3"/>
      <c r="L39" s="29"/>
      <c r="M39" s="50"/>
      <c r="N39" s="94"/>
      <c r="O39" s="3"/>
      <c r="P39" s="9"/>
      <c r="Q39" s="9"/>
      <c r="R39" s="9"/>
      <c r="S39" s="9"/>
      <c r="T39" s="269"/>
      <c r="U39" s="269"/>
      <c r="V39" s="269"/>
    </row>
    <row r="40" spans="1:22" x14ac:dyDescent="0.25">
      <c r="A40" s="103">
        <v>37</v>
      </c>
      <c r="B40" s="101" t="s">
        <v>28</v>
      </c>
      <c r="C40" s="16"/>
      <c r="D40" s="16"/>
      <c r="E40" s="17"/>
      <c r="F40" s="11">
        <f>+F41+F51+F52</f>
        <v>500</v>
      </c>
      <c r="G40" s="11">
        <f>+G41+G51+G52</f>
        <v>12867</v>
      </c>
      <c r="H40" s="11">
        <f>H41+H51+H52</f>
        <v>5000</v>
      </c>
      <c r="I40" s="11">
        <v>5281</v>
      </c>
      <c r="J40" s="11">
        <f>H40+I40</f>
        <v>10281</v>
      </c>
      <c r="K40" s="11">
        <f>+L40-J40</f>
        <v>119</v>
      </c>
      <c r="L40" s="31">
        <f>SUM(L42:L62)</f>
        <v>10400</v>
      </c>
      <c r="M40" s="88">
        <f>SUM(M42:M62)</f>
        <v>9952</v>
      </c>
      <c r="N40" s="88">
        <f>SUM(N42:N62)</f>
        <v>20352</v>
      </c>
      <c r="O40" s="8">
        <f t="shared" ref="O40:T40" si="20">SUM(O41,O51,O52,O53)</f>
        <v>5000</v>
      </c>
      <c r="P40" s="111">
        <f t="shared" si="20"/>
        <v>5000</v>
      </c>
      <c r="Q40" s="111">
        <f t="shared" si="20"/>
        <v>5000</v>
      </c>
      <c r="R40" s="111">
        <f t="shared" si="20"/>
        <v>27593</v>
      </c>
      <c r="S40" s="111">
        <f t="shared" si="20"/>
        <v>18114</v>
      </c>
      <c r="T40" s="112">
        <f t="shared" si="20"/>
        <v>18686</v>
      </c>
      <c r="U40" s="112">
        <f>SUM(U41,U51,U52,U53)</f>
        <v>1971</v>
      </c>
      <c r="V40" s="112">
        <f>SUM(V41,V51,V52,V53)</f>
        <v>20657</v>
      </c>
    </row>
    <row r="41" spans="1:22" x14ac:dyDescent="0.25">
      <c r="A41" s="24">
        <v>38</v>
      </c>
      <c r="B41" s="102"/>
      <c r="C41" s="3" t="s">
        <v>29</v>
      </c>
      <c r="D41" s="3"/>
      <c r="E41" s="7"/>
      <c r="F41" s="9">
        <f>+F42+F49+F50</f>
        <v>0</v>
      </c>
      <c r="G41" s="9">
        <v>6379</v>
      </c>
      <c r="H41" s="9">
        <f>H42+H43+H44+H45+H46+H47+H48+H49+H50</f>
        <v>0</v>
      </c>
      <c r="I41" s="9">
        <v>5281</v>
      </c>
      <c r="J41" s="9">
        <f t="shared" ref="J41:J65" si="21">H41+I41</f>
        <v>5281</v>
      </c>
      <c r="K41" s="9">
        <f>+L41-J41</f>
        <v>119</v>
      </c>
      <c r="L41" s="29">
        <f>+L50</f>
        <v>5400</v>
      </c>
      <c r="M41" s="27">
        <f>+M50</f>
        <v>9952</v>
      </c>
      <c r="N41" s="27">
        <f>L41+M41</f>
        <v>15352</v>
      </c>
      <c r="O41" s="10">
        <v>0</v>
      </c>
      <c r="P41" s="125">
        <f t="shared" ref="P41:U41" si="22">SUM(P42,P49:P50)</f>
        <v>0</v>
      </c>
      <c r="Q41" s="125">
        <f t="shared" si="22"/>
        <v>0</v>
      </c>
      <c r="R41" s="125">
        <f t="shared" si="22"/>
        <v>13500</v>
      </c>
      <c r="S41" s="125">
        <f t="shared" si="22"/>
        <v>8157</v>
      </c>
      <c r="T41" s="274">
        <f t="shared" si="22"/>
        <v>8157</v>
      </c>
      <c r="U41" s="274">
        <f t="shared" si="22"/>
        <v>1884</v>
      </c>
      <c r="V41" s="274">
        <f>T41+U41</f>
        <v>10041</v>
      </c>
    </row>
    <row r="42" spans="1:22" x14ac:dyDescent="0.25">
      <c r="A42" s="103">
        <v>39</v>
      </c>
      <c r="B42" s="102"/>
      <c r="C42" s="3"/>
      <c r="D42" s="3" t="s">
        <v>36</v>
      </c>
      <c r="E42" s="7"/>
      <c r="F42" s="9">
        <v>0</v>
      </c>
      <c r="G42" s="9">
        <v>0</v>
      </c>
      <c r="H42" s="11">
        <v>0</v>
      </c>
      <c r="I42" s="9">
        <v>0</v>
      </c>
      <c r="J42" s="9">
        <f t="shared" si="21"/>
        <v>0</v>
      </c>
      <c r="K42" s="9">
        <f t="shared" ref="K42:K62" si="23">+L42-J42</f>
        <v>0</v>
      </c>
      <c r="L42" s="29">
        <v>0</v>
      </c>
      <c r="M42" s="50">
        <v>0</v>
      </c>
      <c r="N42" s="94">
        <v>0</v>
      </c>
      <c r="O42" s="3">
        <v>0</v>
      </c>
      <c r="P42" s="124">
        <f t="shared" ref="P42:T42" si="24">SUM(P43:P48)</f>
        <v>0</v>
      </c>
      <c r="Q42" s="124">
        <f t="shared" si="24"/>
        <v>0</v>
      </c>
      <c r="R42" s="124">
        <f t="shared" si="24"/>
        <v>0</v>
      </c>
      <c r="S42" s="124">
        <f t="shared" si="24"/>
        <v>0</v>
      </c>
      <c r="T42" s="268">
        <f t="shared" si="24"/>
        <v>0</v>
      </c>
      <c r="U42" s="268">
        <f>SUM(U43:U48)</f>
        <v>0</v>
      </c>
      <c r="V42" s="268">
        <v>0</v>
      </c>
    </row>
    <row r="43" spans="1:22" x14ac:dyDescent="0.25">
      <c r="A43" s="103">
        <v>40</v>
      </c>
      <c r="B43" s="102"/>
      <c r="C43" s="3"/>
      <c r="D43" s="3"/>
      <c r="E43" s="18" t="s">
        <v>30</v>
      </c>
      <c r="F43" s="19">
        <v>0</v>
      </c>
      <c r="G43" s="9">
        <v>0</v>
      </c>
      <c r="H43" s="11">
        <v>0</v>
      </c>
      <c r="I43" s="9">
        <v>0</v>
      </c>
      <c r="J43" s="9">
        <f t="shared" si="21"/>
        <v>0</v>
      </c>
      <c r="K43" s="9">
        <f t="shared" si="23"/>
        <v>0</v>
      </c>
      <c r="L43" s="29">
        <v>0</v>
      </c>
      <c r="M43" s="50">
        <v>0</v>
      </c>
      <c r="N43" s="94">
        <v>0</v>
      </c>
      <c r="O43" s="3">
        <v>0</v>
      </c>
      <c r="P43" s="9">
        <v>0</v>
      </c>
      <c r="Q43" s="9">
        <v>0</v>
      </c>
      <c r="R43" s="9">
        <v>0</v>
      </c>
      <c r="S43" s="9">
        <v>0</v>
      </c>
      <c r="T43" s="269">
        <v>0</v>
      </c>
      <c r="U43" s="269">
        <v>0</v>
      </c>
      <c r="V43" s="269">
        <v>0</v>
      </c>
    </row>
    <row r="44" spans="1:22" x14ac:dyDescent="0.25">
      <c r="A44" s="24">
        <v>41</v>
      </c>
      <c r="B44" s="102"/>
      <c r="C44" s="3"/>
      <c r="D44" s="3"/>
      <c r="E44" s="18" t="s">
        <v>31</v>
      </c>
      <c r="F44" s="19">
        <v>0</v>
      </c>
      <c r="G44" s="9">
        <v>0</v>
      </c>
      <c r="H44" s="11">
        <v>0</v>
      </c>
      <c r="I44" s="9">
        <v>0</v>
      </c>
      <c r="J44" s="9">
        <f t="shared" si="21"/>
        <v>0</v>
      </c>
      <c r="K44" s="9">
        <f t="shared" si="23"/>
        <v>0</v>
      </c>
      <c r="L44" s="29">
        <v>0</v>
      </c>
      <c r="M44" s="50">
        <v>0</v>
      </c>
      <c r="N44" s="94">
        <v>0</v>
      </c>
      <c r="O44" s="3">
        <v>0</v>
      </c>
      <c r="P44" s="9">
        <v>0</v>
      </c>
      <c r="Q44" s="9">
        <v>0</v>
      </c>
      <c r="R44" s="9">
        <v>0</v>
      </c>
      <c r="S44" s="9">
        <v>0</v>
      </c>
      <c r="T44" s="269">
        <v>0</v>
      </c>
      <c r="U44" s="269">
        <v>0</v>
      </c>
      <c r="V44" s="269">
        <v>0</v>
      </c>
    </row>
    <row r="45" spans="1:22" ht="30" x14ac:dyDescent="0.25">
      <c r="A45" s="103">
        <v>42</v>
      </c>
      <c r="B45" s="102"/>
      <c r="C45" s="3"/>
      <c r="D45" s="3"/>
      <c r="E45" s="20" t="s">
        <v>32</v>
      </c>
      <c r="F45" s="19">
        <v>0</v>
      </c>
      <c r="G45" s="9">
        <v>0</v>
      </c>
      <c r="H45" s="11">
        <v>0</v>
      </c>
      <c r="I45" s="9">
        <v>0</v>
      </c>
      <c r="J45" s="9">
        <f t="shared" si="21"/>
        <v>0</v>
      </c>
      <c r="K45" s="9">
        <f t="shared" si="23"/>
        <v>0</v>
      </c>
      <c r="L45" s="29">
        <v>0</v>
      </c>
      <c r="M45" s="50">
        <v>0</v>
      </c>
      <c r="N45" s="94">
        <v>0</v>
      </c>
      <c r="O45" s="3">
        <v>0</v>
      </c>
      <c r="P45" s="9">
        <v>0</v>
      </c>
      <c r="Q45" s="9">
        <v>0</v>
      </c>
      <c r="R45" s="9">
        <v>0</v>
      </c>
      <c r="S45" s="9">
        <v>0</v>
      </c>
      <c r="T45" s="269">
        <v>0</v>
      </c>
      <c r="U45" s="269">
        <v>0</v>
      </c>
      <c r="V45" s="269">
        <v>0</v>
      </c>
    </row>
    <row r="46" spans="1:22" x14ac:dyDescent="0.25">
      <c r="A46" s="103">
        <v>43</v>
      </c>
      <c r="B46" s="102"/>
      <c r="C46" s="3"/>
      <c r="D46" s="3"/>
      <c r="E46" s="20" t="s">
        <v>33</v>
      </c>
      <c r="F46" s="19">
        <v>0</v>
      </c>
      <c r="G46" s="9">
        <v>0</v>
      </c>
      <c r="H46" s="11">
        <v>0</v>
      </c>
      <c r="I46" s="9">
        <v>0</v>
      </c>
      <c r="J46" s="9">
        <f t="shared" si="21"/>
        <v>0</v>
      </c>
      <c r="K46" s="9">
        <f t="shared" si="23"/>
        <v>0</v>
      </c>
      <c r="L46" s="29">
        <v>0</v>
      </c>
      <c r="M46" s="50">
        <v>0</v>
      </c>
      <c r="N46" s="94">
        <v>0</v>
      </c>
      <c r="O46" s="3">
        <v>0</v>
      </c>
      <c r="P46" s="9">
        <v>0</v>
      </c>
      <c r="Q46" s="9">
        <v>0</v>
      </c>
      <c r="R46" s="9">
        <v>0</v>
      </c>
      <c r="S46" s="9">
        <v>0</v>
      </c>
      <c r="T46" s="269">
        <v>0</v>
      </c>
      <c r="U46" s="269">
        <v>0</v>
      </c>
      <c r="V46" s="269">
        <v>0</v>
      </c>
    </row>
    <row r="47" spans="1:22" x14ac:dyDescent="0.25">
      <c r="A47" s="24">
        <v>44</v>
      </c>
      <c r="B47" s="102"/>
      <c r="C47" s="3"/>
      <c r="D47" s="3"/>
      <c r="E47" s="20" t="s">
        <v>34</v>
      </c>
      <c r="F47" s="19">
        <v>0</v>
      </c>
      <c r="G47" s="9">
        <v>0</v>
      </c>
      <c r="H47" s="11">
        <v>0</v>
      </c>
      <c r="I47" s="9">
        <v>0</v>
      </c>
      <c r="J47" s="9">
        <f t="shared" si="21"/>
        <v>0</v>
      </c>
      <c r="K47" s="9">
        <f t="shared" si="23"/>
        <v>0</v>
      </c>
      <c r="L47" s="29">
        <v>0</v>
      </c>
      <c r="M47" s="50">
        <v>0</v>
      </c>
      <c r="N47" s="94">
        <v>0</v>
      </c>
      <c r="O47" s="3">
        <v>0</v>
      </c>
      <c r="P47" s="9">
        <v>0</v>
      </c>
      <c r="Q47" s="9">
        <v>0</v>
      </c>
      <c r="R47" s="9">
        <v>0</v>
      </c>
      <c r="S47" s="9">
        <v>0</v>
      </c>
      <c r="T47" s="269">
        <v>0</v>
      </c>
      <c r="U47" s="269">
        <v>0</v>
      </c>
      <c r="V47" s="269">
        <v>0</v>
      </c>
    </row>
    <row r="48" spans="1:22" x14ac:dyDescent="0.25">
      <c r="A48" s="103">
        <v>45</v>
      </c>
      <c r="B48" s="102"/>
      <c r="C48" s="3"/>
      <c r="D48" s="3"/>
      <c r="E48" s="20" t="s">
        <v>35</v>
      </c>
      <c r="F48" s="19">
        <v>0</v>
      </c>
      <c r="G48" s="9">
        <v>0</v>
      </c>
      <c r="H48" s="11">
        <v>0</v>
      </c>
      <c r="I48" s="9">
        <v>0</v>
      </c>
      <c r="J48" s="9">
        <f t="shared" si="21"/>
        <v>0</v>
      </c>
      <c r="K48" s="9"/>
      <c r="L48" s="29"/>
      <c r="M48" s="50">
        <v>0</v>
      </c>
      <c r="N48" s="94">
        <v>0</v>
      </c>
      <c r="O48" s="3">
        <v>0</v>
      </c>
      <c r="P48" s="9">
        <v>0</v>
      </c>
      <c r="Q48" s="9">
        <v>0</v>
      </c>
      <c r="R48" s="9">
        <v>0</v>
      </c>
      <c r="S48" s="9">
        <v>0</v>
      </c>
      <c r="T48" s="269">
        <v>0</v>
      </c>
      <c r="U48" s="269">
        <v>0</v>
      </c>
      <c r="V48" s="269">
        <v>0</v>
      </c>
    </row>
    <row r="49" spans="1:22" x14ac:dyDescent="0.25">
      <c r="A49" s="103">
        <v>46</v>
      </c>
      <c r="B49" s="102"/>
      <c r="C49" s="3"/>
      <c r="D49" s="3" t="s">
        <v>47</v>
      </c>
      <c r="E49" s="21"/>
      <c r="F49" s="9">
        <v>0</v>
      </c>
      <c r="G49" s="9">
        <v>0</v>
      </c>
      <c r="H49" s="11">
        <v>0</v>
      </c>
      <c r="I49" s="9">
        <v>0</v>
      </c>
      <c r="J49" s="9">
        <f t="shared" si="21"/>
        <v>0</v>
      </c>
      <c r="K49" s="9">
        <f t="shared" si="23"/>
        <v>0</v>
      </c>
      <c r="L49" s="29">
        <v>0</v>
      </c>
      <c r="M49" s="50">
        <v>0</v>
      </c>
      <c r="N49" s="94">
        <v>0</v>
      </c>
      <c r="O49" s="3">
        <v>0</v>
      </c>
      <c r="P49" s="9">
        <v>0</v>
      </c>
      <c r="Q49" s="9">
        <v>0</v>
      </c>
      <c r="R49" s="9">
        <v>0</v>
      </c>
      <c r="S49" s="9">
        <v>0</v>
      </c>
      <c r="T49" s="269">
        <v>0</v>
      </c>
      <c r="U49" s="269">
        <v>0</v>
      </c>
      <c r="V49" s="269">
        <v>0</v>
      </c>
    </row>
    <row r="50" spans="1:22" x14ac:dyDescent="0.25">
      <c r="A50" s="24">
        <v>47</v>
      </c>
      <c r="B50" s="102"/>
      <c r="C50" s="3"/>
      <c r="D50" s="3" t="s">
        <v>37</v>
      </c>
      <c r="E50" s="21"/>
      <c r="F50" s="9">
        <v>0</v>
      </c>
      <c r="G50" s="11">
        <v>6379</v>
      </c>
      <c r="H50" s="9"/>
      <c r="I50" s="9">
        <v>5281</v>
      </c>
      <c r="J50" s="9">
        <f t="shared" si="21"/>
        <v>5281</v>
      </c>
      <c r="K50" s="9">
        <v>119</v>
      </c>
      <c r="L50" s="29">
        <f>K50+J50</f>
        <v>5400</v>
      </c>
      <c r="M50" s="10">
        <v>9952</v>
      </c>
      <c r="N50" s="27">
        <f>L50+M50</f>
        <v>15352</v>
      </c>
      <c r="O50" s="3">
        <v>0</v>
      </c>
      <c r="P50" s="9">
        <v>0</v>
      </c>
      <c r="Q50" s="9">
        <v>0</v>
      </c>
      <c r="R50" s="9">
        <v>13500</v>
      </c>
      <c r="S50" s="9">
        <v>8157</v>
      </c>
      <c r="T50" s="269">
        <v>8157</v>
      </c>
      <c r="U50" s="269">
        <v>1884</v>
      </c>
      <c r="V50" s="269">
        <f>T50+U50</f>
        <v>10041</v>
      </c>
    </row>
    <row r="51" spans="1:22" x14ac:dyDescent="0.25">
      <c r="A51" s="103">
        <v>48</v>
      </c>
      <c r="B51" s="102"/>
      <c r="C51" s="3" t="s">
        <v>38</v>
      </c>
      <c r="D51" s="3"/>
      <c r="E51" s="21"/>
      <c r="F51" s="9">
        <v>500</v>
      </c>
      <c r="G51" s="9">
        <v>6488</v>
      </c>
      <c r="H51" s="9">
        <v>5000</v>
      </c>
      <c r="I51" s="9">
        <v>0</v>
      </c>
      <c r="J51" s="9">
        <f t="shared" si="21"/>
        <v>5000</v>
      </c>
      <c r="K51" s="9">
        <f t="shared" si="23"/>
        <v>0</v>
      </c>
      <c r="L51" s="29">
        <v>5000</v>
      </c>
      <c r="M51" s="50">
        <v>0</v>
      </c>
      <c r="N51" s="27">
        <v>5000</v>
      </c>
      <c r="O51" s="9">
        <v>5000</v>
      </c>
      <c r="P51" s="9">
        <v>5000</v>
      </c>
      <c r="Q51" s="9">
        <v>5000</v>
      </c>
      <c r="R51" s="9">
        <v>14093</v>
      </c>
      <c r="S51" s="9">
        <v>9957</v>
      </c>
      <c r="T51" s="269">
        <v>10529</v>
      </c>
      <c r="U51" s="269">
        <v>87</v>
      </c>
      <c r="V51" s="269">
        <f>T51+U51</f>
        <v>10616</v>
      </c>
    </row>
    <row r="52" spans="1:22" x14ac:dyDescent="0.25">
      <c r="A52" s="103">
        <v>49</v>
      </c>
      <c r="B52" s="102"/>
      <c r="C52" s="3" t="s">
        <v>39</v>
      </c>
      <c r="D52" s="3"/>
      <c r="E52" s="21"/>
      <c r="F52" s="9">
        <v>0</v>
      </c>
      <c r="G52" s="9">
        <v>0</v>
      </c>
      <c r="H52" s="9">
        <v>0</v>
      </c>
      <c r="I52" s="9">
        <v>0</v>
      </c>
      <c r="J52" s="9">
        <f t="shared" si="21"/>
        <v>0</v>
      </c>
      <c r="K52" s="9">
        <f t="shared" si="23"/>
        <v>0</v>
      </c>
      <c r="L52" s="29">
        <v>0</v>
      </c>
      <c r="M52" s="50">
        <v>0</v>
      </c>
      <c r="N52" s="94">
        <v>0</v>
      </c>
      <c r="O52" s="3">
        <v>0</v>
      </c>
      <c r="P52" s="9">
        <v>0</v>
      </c>
      <c r="Q52" s="9">
        <v>0</v>
      </c>
      <c r="R52" s="9">
        <v>0</v>
      </c>
      <c r="S52" s="9">
        <v>0</v>
      </c>
      <c r="T52" s="269">
        <v>0</v>
      </c>
      <c r="U52" s="269">
        <v>0</v>
      </c>
      <c r="V52" s="269">
        <v>0</v>
      </c>
    </row>
    <row r="53" spans="1:22" x14ac:dyDescent="0.25">
      <c r="A53" s="24">
        <v>50</v>
      </c>
      <c r="B53" s="102"/>
      <c r="C53" s="3" t="s">
        <v>304</v>
      </c>
      <c r="D53" s="3"/>
      <c r="E53" s="21"/>
      <c r="F53" s="9"/>
      <c r="G53" s="3"/>
      <c r="H53" s="9"/>
      <c r="I53" s="9"/>
      <c r="J53" s="9"/>
      <c r="K53" s="9"/>
      <c r="L53" s="29"/>
      <c r="M53" s="50"/>
      <c r="N53" s="94"/>
      <c r="O53" s="9">
        <f t="shared" ref="O53:T53" si="25">SUM(O54:O57)</f>
        <v>0</v>
      </c>
      <c r="P53" s="123">
        <f t="shared" si="25"/>
        <v>0</v>
      </c>
      <c r="Q53" s="123">
        <f t="shared" si="25"/>
        <v>0</v>
      </c>
      <c r="R53" s="123">
        <f t="shared" si="25"/>
        <v>0</v>
      </c>
      <c r="S53" s="270">
        <f t="shared" si="25"/>
        <v>0</v>
      </c>
      <c r="T53" s="270">
        <f t="shared" si="25"/>
        <v>0</v>
      </c>
      <c r="U53" s="270">
        <f>SUM(U54:U57)</f>
        <v>0</v>
      </c>
      <c r="V53" s="270">
        <f>SUM(V54:V57)</f>
        <v>0</v>
      </c>
    </row>
    <row r="54" spans="1:22" x14ac:dyDescent="0.25">
      <c r="A54" s="103">
        <v>51</v>
      </c>
      <c r="B54" s="102"/>
      <c r="C54" s="3"/>
      <c r="D54" s="3" t="s">
        <v>306</v>
      </c>
      <c r="E54" s="21"/>
      <c r="F54" s="9"/>
      <c r="G54" s="3"/>
      <c r="H54" s="9"/>
      <c r="I54" s="9"/>
      <c r="J54" s="9"/>
      <c r="K54" s="9"/>
      <c r="L54" s="29"/>
      <c r="M54" s="50"/>
      <c r="N54" s="94"/>
      <c r="O54" s="9">
        <v>0</v>
      </c>
      <c r="P54" s="9">
        <v>0</v>
      </c>
      <c r="Q54" s="9">
        <v>0</v>
      </c>
      <c r="R54" s="9">
        <v>0</v>
      </c>
      <c r="S54" s="269">
        <v>0</v>
      </c>
      <c r="T54" s="269">
        <v>0</v>
      </c>
      <c r="U54" s="269">
        <v>0</v>
      </c>
      <c r="V54" s="269">
        <f t="shared" ref="V54:V57" si="26">T54+U54</f>
        <v>0</v>
      </c>
    </row>
    <row r="55" spans="1:22" x14ac:dyDescent="0.25">
      <c r="A55" s="103">
        <v>52</v>
      </c>
      <c r="B55" s="102"/>
      <c r="C55" s="3"/>
      <c r="D55" s="3" t="s">
        <v>305</v>
      </c>
      <c r="E55" s="21"/>
      <c r="F55" s="9"/>
      <c r="G55" s="3"/>
      <c r="H55" s="9"/>
      <c r="I55" s="9"/>
      <c r="J55" s="9"/>
      <c r="K55" s="9"/>
      <c r="L55" s="29"/>
      <c r="M55" s="50"/>
      <c r="N55" s="94"/>
      <c r="O55" s="9">
        <v>0</v>
      </c>
      <c r="P55" s="9">
        <v>0</v>
      </c>
      <c r="Q55" s="9">
        <v>0</v>
      </c>
      <c r="R55" s="9">
        <v>0</v>
      </c>
      <c r="S55" s="269">
        <v>0</v>
      </c>
      <c r="T55" s="269">
        <v>0</v>
      </c>
      <c r="U55" s="269">
        <v>0</v>
      </c>
      <c r="V55" s="269">
        <f t="shared" si="26"/>
        <v>0</v>
      </c>
    </row>
    <row r="56" spans="1:22" x14ac:dyDescent="0.25">
      <c r="A56" s="24">
        <v>53</v>
      </c>
      <c r="B56" s="102"/>
      <c r="C56" s="3"/>
      <c r="D56" s="3" t="s">
        <v>307</v>
      </c>
      <c r="E56" s="21"/>
      <c r="F56" s="9"/>
      <c r="G56" s="3"/>
      <c r="H56" s="9"/>
      <c r="I56" s="9"/>
      <c r="J56" s="9"/>
      <c r="K56" s="9"/>
      <c r="L56" s="29"/>
      <c r="M56" s="50"/>
      <c r="N56" s="94"/>
      <c r="O56" s="9">
        <v>0</v>
      </c>
      <c r="P56" s="9">
        <v>0</v>
      </c>
      <c r="Q56" s="9">
        <v>0</v>
      </c>
      <c r="R56" s="9">
        <v>0</v>
      </c>
      <c r="S56" s="269">
        <v>0</v>
      </c>
      <c r="T56" s="269">
        <v>0</v>
      </c>
      <c r="U56" s="269">
        <v>0</v>
      </c>
      <c r="V56" s="269">
        <f t="shared" si="26"/>
        <v>0</v>
      </c>
    </row>
    <row r="57" spans="1:22" x14ac:dyDescent="0.25">
      <c r="A57" s="103">
        <v>54</v>
      </c>
      <c r="B57" s="102"/>
      <c r="C57" s="3"/>
      <c r="D57" s="3" t="s">
        <v>308</v>
      </c>
      <c r="E57" s="21"/>
      <c r="F57" s="9"/>
      <c r="G57" s="3"/>
      <c r="H57" s="9"/>
      <c r="I57" s="9"/>
      <c r="J57" s="9"/>
      <c r="K57" s="9"/>
      <c r="L57" s="29"/>
      <c r="M57" s="50"/>
      <c r="N57" s="94"/>
      <c r="O57" s="9">
        <v>0</v>
      </c>
      <c r="P57" s="9">
        <v>0</v>
      </c>
      <c r="Q57" s="9">
        <v>0</v>
      </c>
      <c r="R57" s="9">
        <v>0</v>
      </c>
      <c r="S57" s="269">
        <v>0</v>
      </c>
      <c r="T57" s="269">
        <v>0</v>
      </c>
      <c r="U57" s="269">
        <v>0</v>
      </c>
      <c r="V57" s="269">
        <f t="shared" si="26"/>
        <v>0</v>
      </c>
    </row>
    <row r="58" spans="1:22" x14ac:dyDescent="0.25">
      <c r="A58" s="103">
        <v>55</v>
      </c>
      <c r="B58" s="101" t="s">
        <v>40</v>
      </c>
      <c r="C58" s="16"/>
      <c r="D58" s="16"/>
      <c r="E58" s="17"/>
      <c r="F58" s="11">
        <f>SUM(F59:F62)</f>
        <v>0</v>
      </c>
      <c r="G58" s="9">
        <v>0</v>
      </c>
      <c r="H58" s="9" t="e">
        <f>H59+H60+#REF!+#REF!+#REF!+#REF!+H61+H62</f>
        <v>#REF!</v>
      </c>
      <c r="I58" s="11">
        <v>0</v>
      </c>
      <c r="J58" s="11" t="e">
        <f t="shared" si="21"/>
        <v>#REF!</v>
      </c>
      <c r="K58" s="9" t="e">
        <f t="shared" si="23"/>
        <v>#REF!</v>
      </c>
      <c r="L58" s="29">
        <v>0</v>
      </c>
      <c r="M58" s="50">
        <v>0</v>
      </c>
      <c r="N58" s="94">
        <v>0</v>
      </c>
      <c r="O58" s="3">
        <v>0</v>
      </c>
      <c r="P58" s="111">
        <f>SUM(P59:P62)</f>
        <v>0</v>
      </c>
      <c r="Q58" s="111">
        <f>SUM(Q59:Q62)</f>
        <v>0</v>
      </c>
      <c r="R58" s="111">
        <f>SUM(R59:R62)</f>
        <v>0</v>
      </c>
      <c r="S58" s="112">
        <f>SUM(S59:S62)</f>
        <v>233</v>
      </c>
      <c r="T58" s="112">
        <f>SUM(T59:T62)</f>
        <v>233</v>
      </c>
      <c r="U58" s="112">
        <f t="shared" ref="U58:V58" si="27">SUM(U59:U62)</f>
        <v>323</v>
      </c>
      <c r="V58" s="112">
        <f t="shared" si="27"/>
        <v>556</v>
      </c>
    </row>
    <row r="59" spans="1:22" x14ac:dyDescent="0.25">
      <c r="A59" s="24">
        <v>56</v>
      </c>
      <c r="B59" s="102"/>
      <c r="C59" s="3" t="s">
        <v>41</v>
      </c>
      <c r="D59" s="3"/>
      <c r="E59" s="7"/>
      <c r="F59" s="9">
        <v>0</v>
      </c>
      <c r="G59" s="9">
        <v>0</v>
      </c>
      <c r="H59" s="11">
        <v>0</v>
      </c>
      <c r="I59" s="9">
        <v>0</v>
      </c>
      <c r="J59" s="9">
        <f t="shared" si="21"/>
        <v>0</v>
      </c>
      <c r="K59" s="9">
        <f t="shared" si="23"/>
        <v>0</v>
      </c>
      <c r="L59" s="29">
        <v>0</v>
      </c>
      <c r="M59" s="50">
        <v>0</v>
      </c>
      <c r="N59" s="94">
        <v>0</v>
      </c>
      <c r="O59" s="3">
        <v>0</v>
      </c>
      <c r="P59" s="9">
        <v>0</v>
      </c>
      <c r="Q59" s="9">
        <v>0</v>
      </c>
      <c r="R59" s="9">
        <v>0</v>
      </c>
      <c r="S59" s="269">
        <v>0</v>
      </c>
      <c r="T59" s="269">
        <v>0</v>
      </c>
      <c r="U59" s="269">
        <v>0</v>
      </c>
      <c r="V59" s="269">
        <f t="shared" ref="V59:V62" si="28">T59+U59</f>
        <v>0</v>
      </c>
    </row>
    <row r="60" spans="1:22" x14ac:dyDescent="0.25">
      <c r="A60" s="103">
        <v>57</v>
      </c>
      <c r="B60" s="102"/>
      <c r="C60" s="3" t="s">
        <v>42</v>
      </c>
      <c r="D60" s="3"/>
      <c r="E60" s="7"/>
      <c r="F60" s="9">
        <v>0</v>
      </c>
      <c r="G60" s="9">
        <v>0</v>
      </c>
      <c r="H60" s="11">
        <v>0</v>
      </c>
      <c r="I60" s="9">
        <v>0</v>
      </c>
      <c r="J60" s="9">
        <f t="shared" si="21"/>
        <v>0</v>
      </c>
      <c r="K60" s="9">
        <f t="shared" si="23"/>
        <v>0</v>
      </c>
      <c r="L60" s="29">
        <v>0</v>
      </c>
      <c r="M60" s="50">
        <v>0</v>
      </c>
      <c r="N60" s="94">
        <v>0</v>
      </c>
      <c r="O60" s="3">
        <v>0</v>
      </c>
      <c r="P60" s="9">
        <v>0</v>
      </c>
      <c r="Q60" s="9">
        <v>0</v>
      </c>
      <c r="R60" s="9">
        <v>0</v>
      </c>
      <c r="S60" s="269">
        <v>0</v>
      </c>
      <c r="T60" s="269">
        <v>0</v>
      </c>
      <c r="U60" s="269">
        <v>0</v>
      </c>
      <c r="V60" s="269">
        <f t="shared" si="28"/>
        <v>0</v>
      </c>
    </row>
    <row r="61" spans="1:22" x14ac:dyDescent="0.25">
      <c r="A61" s="103">
        <v>58</v>
      </c>
      <c r="B61" s="102"/>
      <c r="C61" s="3" t="s">
        <v>44</v>
      </c>
      <c r="D61" s="3"/>
      <c r="E61" s="7"/>
      <c r="F61" s="9">
        <v>0</v>
      </c>
      <c r="G61" s="9">
        <v>0</v>
      </c>
      <c r="H61" s="11">
        <v>0</v>
      </c>
      <c r="I61" s="9">
        <v>0</v>
      </c>
      <c r="J61" s="9">
        <f t="shared" si="21"/>
        <v>0</v>
      </c>
      <c r="K61" s="9">
        <f t="shared" si="23"/>
        <v>0</v>
      </c>
      <c r="L61" s="29">
        <v>0</v>
      </c>
      <c r="M61" s="50">
        <v>0</v>
      </c>
      <c r="N61" s="94">
        <v>0</v>
      </c>
      <c r="O61" s="3">
        <v>0</v>
      </c>
      <c r="P61" s="9">
        <v>0</v>
      </c>
      <c r="Q61" s="9">
        <v>0</v>
      </c>
      <c r="R61" s="9">
        <v>0</v>
      </c>
      <c r="S61" s="269">
        <v>0</v>
      </c>
      <c r="T61" s="269">
        <v>0</v>
      </c>
      <c r="U61" s="269">
        <v>323</v>
      </c>
      <c r="V61" s="269">
        <f t="shared" si="28"/>
        <v>323</v>
      </c>
    </row>
    <row r="62" spans="1:22" x14ac:dyDescent="0.25">
      <c r="A62" s="24">
        <v>59</v>
      </c>
      <c r="B62" s="102"/>
      <c r="C62" s="3" t="s">
        <v>43</v>
      </c>
      <c r="D62" s="3"/>
      <c r="E62" s="7"/>
      <c r="F62" s="9">
        <v>0</v>
      </c>
      <c r="G62" s="9">
        <v>0</v>
      </c>
      <c r="H62" s="11">
        <v>0</v>
      </c>
      <c r="I62" s="9">
        <v>0</v>
      </c>
      <c r="J62" s="9">
        <f t="shared" si="21"/>
        <v>0</v>
      </c>
      <c r="K62" s="9">
        <f t="shared" si="23"/>
        <v>0</v>
      </c>
      <c r="L62" s="29">
        <v>0</v>
      </c>
      <c r="M62" s="50">
        <v>0</v>
      </c>
      <c r="N62" s="94">
        <v>0</v>
      </c>
      <c r="O62" s="3">
        <v>0</v>
      </c>
      <c r="P62" s="9">
        <v>0</v>
      </c>
      <c r="Q62" s="9">
        <v>0</v>
      </c>
      <c r="R62" s="9">
        <v>0</v>
      </c>
      <c r="S62" s="269">
        <v>233</v>
      </c>
      <c r="T62" s="269">
        <v>233</v>
      </c>
      <c r="U62" s="269">
        <v>0</v>
      </c>
      <c r="V62" s="269">
        <f t="shared" si="28"/>
        <v>233</v>
      </c>
    </row>
    <row r="63" spans="1:22" x14ac:dyDescent="0.25">
      <c r="A63" s="103">
        <v>60</v>
      </c>
      <c r="B63" s="101" t="s">
        <v>45</v>
      </c>
      <c r="C63" s="16"/>
      <c r="D63" s="16"/>
      <c r="E63" s="17"/>
      <c r="F63" s="11">
        <f>+F64+F65</f>
        <v>412105</v>
      </c>
      <c r="G63" s="11">
        <v>455351</v>
      </c>
      <c r="H63" s="11">
        <f>H64+H65</f>
        <v>488359</v>
      </c>
      <c r="I63" s="11">
        <v>9078</v>
      </c>
      <c r="J63" s="11">
        <f t="shared" si="21"/>
        <v>497437</v>
      </c>
      <c r="K63" s="11">
        <f>K64+K65</f>
        <v>7866</v>
      </c>
      <c r="L63" s="31">
        <f>L64+L65</f>
        <v>505303</v>
      </c>
      <c r="M63" s="88">
        <f t="shared" ref="M63:N63" si="29">M64+M65</f>
        <v>28011</v>
      </c>
      <c r="N63" s="88">
        <f t="shared" si="29"/>
        <v>533314</v>
      </c>
      <c r="O63" s="11">
        <f>O64+O65</f>
        <v>435231</v>
      </c>
      <c r="P63" s="111">
        <f>SUM(P64:P65)</f>
        <v>458775</v>
      </c>
      <c r="Q63" s="111">
        <f>SUM(Q64:Q65)</f>
        <v>493954</v>
      </c>
      <c r="R63" s="111">
        <f>SUM(R64:R65)</f>
        <v>591108</v>
      </c>
      <c r="S63" s="112">
        <f>SUM(S64:S65)</f>
        <v>681007</v>
      </c>
      <c r="T63" s="112">
        <f>SUM(T64:T65)</f>
        <v>802544</v>
      </c>
      <c r="U63" s="112">
        <f t="shared" ref="U63:V63" si="30">U64+U65</f>
        <v>15897</v>
      </c>
      <c r="V63" s="112">
        <f t="shared" si="30"/>
        <v>818441</v>
      </c>
    </row>
    <row r="64" spans="1:22" x14ac:dyDescent="0.25">
      <c r="A64" s="103">
        <v>61</v>
      </c>
      <c r="B64" s="102"/>
      <c r="C64" s="3" t="s">
        <v>46</v>
      </c>
      <c r="D64" s="3"/>
      <c r="E64" s="7"/>
      <c r="F64" s="9">
        <v>0</v>
      </c>
      <c r="G64" s="9">
        <v>4812</v>
      </c>
      <c r="H64" s="9"/>
      <c r="I64" s="9">
        <v>9078</v>
      </c>
      <c r="J64" s="9">
        <f t="shared" si="21"/>
        <v>9078</v>
      </c>
      <c r="K64" s="9">
        <f>+L64-J64</f>
        <v>0</v>
      </c>
      <c r="L64" s="29">
        <v>9078</v>
      </c>
      <c r="M64" s="50">
        <v>0</v>
      </c>
      <c r="N64" s="94">
        <v>9078</v>
      </c>
      <c r="O64" s="3"/>
      <c r="P64" s="9">
        <v>0</v>
      </c>
      <c r="Q64" s="9">
        <v>0</v>
      </c>
      <c r="R64" s="9">
        <v>0</v>
      </c>
      <c r="S64" s="269">
        <v>0</v>
      </c>
      <c r="T64" s="269">
        <v>0</v>
      </c>
      <c r="U64" s="269">
        <v>15897</v>
      </c>
      <c r="V64" s="269">
        <f t="shared" ref="V64:V65" si="31">T64+U64</f>
        <v>15897</v>
      </c>
    </row>
    <row r="65" spans="1:22" x14ac:dyDescent="0.25">
      <c r="A65" s="24">
        <v>62</v>
      </c>
      <c r="B65" s="102"/>
      <c r="C65" s="3" t="s">
        <v>50</v>
      </c>
      <c r="D65" s="3"/>
      <c r="E65" s="7"/>
      <c r="F65" s="9">
        <v>412105</v>
      </c>
      <c r="G65" s="9">
        <v>450539</v>
      </c>
      <c r="H65" s="9">
        <v>488359</v>
      </c>
      <c r="I65" s="9">
        <v>0</v>
      </c>
      <c r="J65" s="9">
        <f t="shared" si="21"/>
        <v>488359</v>
      </c>
      <c r="K65" s="9">
        <v>7866</v>
      </c>
      <c r="L65" s="29">
        <f>J65+K65</f>
        <v>496225</v>
      </c>
      <c r="M65" s="10">
        <f>19011+9000</f>
        <v>28011</v>
      </c>
      <c r="N65" s="27">
        <f>L65+M65</f>
        <v>524236</v>
      </c>
      <c r="O65" s="9">
        <v>435231</v>
      </c>
      <c r="P65" s="9">
        <v>458775</v>
      </c>
      <c r="Q65" s="9">
        <v>493954</v>
      </c>
      <c r="R65" s="9">
        <v>591108</v>
      </c>
      <c r="S65" s="269">
        <v>681007</v>
      </c>
      <c r="T65" s="269">
        <v>802544</v>
      </c>
      <c r="U65" s="269">
        <v>0</v>
      </c>
      <c r="V65" s="269">
        <f t="shared" si="31"/>
        <v>802544</v>
      </c>
    </row>
    <row r="66" spans="1:22" x14ac:dyDescent="0.25">
      <c r="A66" s="103">
        <v>63</v>
      </c>
      <c r="B66" s="101" t="s">
        <v>19</v>
      </c>
      <c r="C66" s="16"/>
      <c r="D66" s="16"/>
      <c r="E66" s="17"/>
      <c r="F66" s="11">
        <f>F63+F58+F40</f>
        <v>412605</v>
      </c>
      <c r="G66" s="11">
        <f>G63+G58+G40</f>
        <v>468218</v>
      </c>
      <c r="H66" s="11" t="e">
        <f>H63+H58+H40</f>
        <v>#REF!</v>
      </c>
      <c r="I66" s="11">
        <f>I63+I58+I40</f>
        <v>14359</v>
      </c>
      <c r="J66" s="11" t="e">
        <f>J63+J58+J40</f>
        <v>#REF!</v>
      </c>
      <c r="K66" s="11">
        <f>K40+K63</f>
        <v>7985</v>
      </c>
      <c r="L66" s="31">
        <f>+L63+L40</f>
        <v>515703</v>
      </c>
      <c r="M66" s="88">
        <f>+M63+M40</f>
        <v>37963</v>
      </c>
      <c r="N66" s="88">
        <f>+N63+N40</f>
        <v>553666</v>
      </c>
      <c r="O66" s="11">
        <f>O63+O40</f>
        <v>440231</v>
      </c>
      <c r="P66" s="111">
        <f>SUM(P63,P58,P40)</f>
        <v>463775</v>
      </c>
      <c r="Q66" s="111">
        <f>SUM(Q63,Q58,Q40)</f>
        <v>498954</v>
      </c>
      <c r="R66" s="111">
        <f>SUM(R63,R58,R40)</f>
        <v>618701</v>
      </c>
      <c r="S66" s="112">
        <f>SUM(S63,S58,S40)</f>
        <v>699354</v>
      </c>
      <c r="T66" s="112">
        <f>SUM(T63,T58,T40)</f>
        <v>821463</v>
      </c>
      <c r="U66" s="112">
        <f t="shared" ref="U66:V66" si="32">SUM(U63,U58,U40)</f>
        <v>18191</v>
      </c>
      <c r="V66" s="112">
        <f t="shared" si="32"/>
        <v>839654</v>
      </c>
    </row>
    <row r="67" spans="1:22" ht="78" customHeight="1" x14ac:dyDescent="0.25">
      <c r="A67" s="103">
        <v>64</v>
      </c>
      <c r="B67" s="101" t="s">
        <v>21</v>
      </c>
      <c r="C67" s="16"/>
      <c r="D67" s="16"/>
      <c r="E67" s="16"/>
      <c r="F67" s="15" t="s">
        <v>107</v>
      </c>
      <c r="G67" s="6" t="s">
        <v>113</v>
      </c>
      <c r="H67" s="6" t="s">
        <v>112</v>
      </c>
      <c r="I67" s="24" t="s">
        <v>111</v>
      </c>
      <c r="J67" s="6" t="s">
        <v>115</v>
      </c>
      <c r="K67" s="24" t="s">
        <v>111</v>
      </c>
      <c r="L67" s="79" t="s">
        <v>257</v>
      </c>
      <c r="M67" s="89" t="s">
        <v>111</v>
      </c>
      <c r="N67" s="79" t="s">
        <v>262</v>
      </c>
      <c r="O67" s="6" t="str">
        <f>$O$4</f>
        <v>Előirányzat
4/2020. (III.05.) önkormányzati rendelet</v>
      </c>
      <c r="P67" s="6" t="s">
        <v>311</v>
      </c>
      <c r="Q67" s="6" t="str">
        <f>Q$4</f>
        <v>Előirányzat
3/2022. (II.10.) önkormányzati rendelet</v>
      </c>
      <c r="R67" s="6" t="str">
        <f>R$4</f>
        <v>Előirányzat
1./2023. (II.23.) önkormányzati rendelet</v>
      </c>
      <c r="S67" s="266" t="str">
        <f>S$4</f>
        <v>Előirányzat
1./2024. (II)22. önkormányzati rendelet</v>
      </c>
      <c r="T67" s="266" t="str">
        <f>T$4</f>
        <v>Előirányzat
2/2025. (II.20.) önkormányzati rendelet</v>
      </c>
      <c r="U67" s="266" t="s">
        <v>111</v>
      </c>
      <c r="V67" s="266" t="str">
        <f>V4</f>
        <v>Módosított előirányzat</v>
      </c>
    </row>
    <row r="68" spans="1:22" x14ac:dyDescent="0.25">
      <c r="A68" s="24">
        <v>65</v>
      </c>
      <c r="B68" s="101" t="s">
        <v>25</v>
      </c>
      <c r="C68" s="3"/>
      <c r="D68" s="3"/>
      <c r="E68" s="7"/>
      <c r="F68" s="9"/>
      <c r="G68" s="3"/>
      <c r="H68" s="9"/>
      <c r="I68" s="3"/>
      <c r="J68" s="3"/>
      <c r="K68" s="3"/>
      <c r="L68" s="26"/>
      <c r="M68" s="50"/>
      <c r="N68" s="94"/>
      <c r="O68" s="9"/>
      <c r="P68" s="9"/>
      <c r="Q68" s="9"/>
      <c r="R68" s="9"/>
      <c r="S68" s="269"/>
      <c r="T68" s="269"/>
      <c r="U68" s="269"/>
      <c r="V68" s="269"/>
    </row>
    <row r="69" spans="1:22" x14ac:dyDescent="0.25">
      <c r="A69" s="103">
        <v>66</v>
      </c>
      <c r="B69" s="101"/>
      <c r="C69" s="3" t="s">
        <v>26</v>
      </c>
      <c r="D69" s="3"/>
      <c r="E69" s="7"/>
      <c r="F69" s="9"/>
      <c r="G69" s="3"/>
      <c r="H69" s="9"/>
      <c r="I69" s="3"/>
      <c r="J69" s="3"/>
      <c r="K69" s="3"/>
      <c r="L69" s="26"/>
      <c r="M69" s="50"/>
      <c r="N69" s="94"/>
      <c r="O69" s="9"/>
      <c r="P69" s="9"/>
      <c r="Q69" s="9"/>
      <c r="R69" s="9"/>
      <c r="S69" s="269"/>
      <c r="T69" s="269"/>
      <c r="U69" s="269"/>
      <c r="V69" s="269"/>
    </row>
    <row r="70" spans="1:22" x14ac:dyDescent="0.25">
      <c r="A70" s="103">
        <v>67</v>
      </c>
      <c r="B70" s="101" t="s">
        <v>28</v>
      </c>
      <c r="C70" s="16"/>
      <c r="D70" s="16"/>
      <c r="E70" s="16"/>
      <c r="F70" s="11">
        <v>0</v>
      </c>
      <c r="G70" s="11">
        <v>3548</v>
      </c>
      <c r="H70" s="11">
        <v>0</v>
      </c>
      <c r="I70" s="16">
        <v>800</v>
      </c>
      <c r="J70" s="16">
        <v>800</v>
      </c>
      <c r="K70" s="1">
        <v>500</v>
      </c>
      <c r="L70" s="82">
        <f>K70+J70</f>
        <v>1300</v>
      </c>
      <c r="M70" s="90">
        <v>0</v>
      </c>
      <c r="N70" s="88">
        <v>1300</v>
      </c>
      <c r="O70" s="11">
        <f t="shared" ref="O70:T70" si="33">SUM(O71,O81,O82,O83)</f>
        <v>0</v>
      </c>
      <c r="P70" s="111">
        <f t="shared" si="33"/>
        <v>0</v>
      </c>
      <c r="Q70" s="111">
        <f t="shared" si="33"/>
        <v>0</v>
      </c>
      <c r="R70" s="111">
        <f t="shared" si="33"/>
        <v>0</v>
      </c>
      <c r="S70" s="112">
        <f t="shared" si="33"/>
        <v>0</v>
      </c>
      <c r="T70" s="112">
        <f t="shared" si="33"/>
        <v>0</v>
      </c>
      <c r="U70" s="112">
        <f>SUM(U71,U81,U82,U83)</f>
        <v>787</v>
      </c>
      <c r="V70" s="112">
        <f>SUM(V71,V81,V82,V83)</f>
        <v>787</v>
      </c>
    </row>
    <row r="71" spans="1:22" x14ac:dyDescent="0.25">
      <c r="A71" s="24">
        <v>68</v>
      </c>
      <c r="B71" s="102"/>
      <c r="C71" s="3" t="s">
        <v>29</v>
      </c>
      <c r="D71" s="3"/>
      <c r="E71" s="7"/>
      <c r="F71" s="9">
        <v>0</v>
      </c>
      <c r="G71" s="9">
        <v>3547</v>
      </c>
      <c r="H71" s="9">
        <v>0</v>
      </c>
      <c r="I71" s="3">
        <v>800</v>
      </c>
      <c r="J71" s="9">
        <v>800</v>
      </c>
      <c r="K71" s="3">
        <v>500</v>
      </c>
      <c r="L71" s="26">
        <v>1300</v>
      </c>
      <c r="M71" s="50">
        <v>0</v>
      </c>
      <c r="N71" s="27">
        <v>1300</v>
      </c>
      <c r="O71" s="9">
        <v>0</v>
      </c>
      <c r="P71" s="123">
        <f>SUM(P72,P79:P80)</f>
        <v>0</v>
      </c>
      <c r="Q71" s="123">
        <f>SUM(Q72,Q79:Q80)</f>
        <v>0</v>
      </c>
      <c r="R71" s="123">
        <f>SUM(R72,R79:R80)</f>
        <v>0</v>
      </c>
      <c r="S71" s="274">
        <f>SUM(S72,S79:S80)</f>
        <v>0</v>
      </c>
      <c r="T71" s="274">
        <f>SUM(T72,T79:T80)</f>
        <v>0</v>
      </c>
      <c r="U71" s="274">
        <f t="shared" ref="U71" si="34">SUM(U72,U79:U80)</f>
        <v>725</v>
      </c>
      <c r="V71" s="274">
        <f>T71+U71</f>
        <v>725</v>
      </c>
    </row>
    <row r="72" spans="1:22" x14ac:dyDescent="0.25">
      <c r="A72" s="103">
        <v>69</v>
      </c>
      <c r="B72" s="102"/>
      <c r="C72" s="3"/>
      <c r="D72" s="3" t="s">
        <v>36</v>
      </c>
      <c r="E72" s="7"/>
      <c r="F72" s="9">
        <v>0</v>
      </c>
      <c r="G72" s="12">
        <v>1</v>
      </c>
      <c r="H72" s="9">
        <v>0</v>
      </c>
      <c r="I72" s="3">
        <v>0</v>
      </c>
      <c r="J72" s="9">
        <f>H72+I72</f>
        <v>0</v>
      </c>
      <c r="K72" s="3">
        <v>0</v>
      </c>
      <c r="L72" s="26">
        <v>0</v>
      </c>
      <c r="M72" s="50">
        <v>0</v>
      </c>
      <c r="N72" s="94">
        <v>0</v>
      </c>
      <c r="O72" s="9">
        <v>0</v>
      </c>
      <c r="P72" s="98">
        <f t="shared" ref="P72:T72" si="35">SUM(P73:P78)</f>
        <v>0</v>
      </c>
      <c r="Q72" s="98">
        <f t="shared" si="35"/>
        <v>0</v>
      </c>
      <c r="R72" s="98">
        <f t="shared" si="35"/>
        <v>0</v>
      </c>
      <c r="S72" s="268">
        <f t="shared" si="35"/>
        <v>0</v>
      </c>
      <c r="T72" s="268">
        <f t="shared" si="35"/>
        <v>0</v>
      </c>
      <c r="U72" s="268">
        <f>SUM(U73:U78)</f>
        <v>0</v>
      </c>
      <c r="V72" s="268">
        <f>SUM(T72:U72)</f>
        <v>0</v>
      </c>
    </row>
    <row r="73" spans="1:22" x14ac:dyDescent="0.25">
      <c r="A73" s="103">
        <v>70</v>
      </c>
      <c r="B73" s="102"/>
      <c r="C73" s="3"/>
      <c r="D73" s="3"/>
      <c r="E73" s="18" t="s">
        <v>30</v>
      </c>
      <c r="F73" s="9">
        <v>0</v>
      </c>
      <c r="G73" s="12">
        <v>0</v>
      </c>
      <c r="H73" s="9">
        <v>0</v>
      </c>
      <c r="I73" s="3">
        <v>0</v>
      </c>
      <c r="J73" s="9">
        <f t="shared" ref="J73:J94" si="36">H73+I73</f>
        <v>0</v>
      </c>
      <c r="K73" s="3">
        <v>0</v>
      </c>
      <c r="L73" s="26">
        <v>0</v>
      </c>
      <c r="M73" s="50">
        <v>0</v>
      </c>
      <c r="N73" s="94">
        <v>0</v>
      </c>
      <c r="O73" s="9">
        <v>0</v>
      </c>
      <c r="P73" s="9">
        <v>0</v>
      </c>
      <c r="Q73" s="9">
        <v>0</v>
      </c>
      <c r="R73" s="9">
        <v>0</v>
      </c>
      <c r="S73" s="269">
        <v>0</v>
      </c>
      <c r="T73" s="269">
        <v>0</v>
      </c>
      <c r="U73" s="269">
        <v>0</v>
      </c>
      <c r="V73" s="269">
        <f t="shared" ref="V73:V82" si="37">T73+U73</f>
        <v>0</v>
      </c>
    </row>
    <row r="74" spans="1:22" x14ac:dyDescent="0.25">
      <c r="A74" s="24">
        <v>71</v>
      </c>
      <c r="B74" s="102"/>
      <c r="C74" s="3"/>
      <c r="D74" s="3"/>
      <c r="E74" s="18" t="s">
        <v>31</v>
      </c>
      <c r="F74" s="9">
        <v>0</v>
      </c>
      <c r="G74" s="12">
        <v>0</v>
      </c>
      <c r="H74" s="9">
        <v>0</v>
      </c>
      <c r="I74" s="3">
        <v>0</v>
      </c>
      <c r="J74" s="9">
        <f t="shared" si="36"/>
        <v>0</v>
      </c>
      <c r="K74" s="3">
        <v>0</v>
      </c>
      <c r="L74" s="26">
        <v>0</v>
      </c>
      <c r="M74" s="50">
        <v>0</v>
      </c>
      <c r="N74" s="94">
        <v>0</v>
      </c>
      <c r="O74" s="9">
        <v>0</v>
      </c>
      <c r="P74" s="9">
        <v>0</v>
      </c>
      <c r="Q74" s="9">
        <v>0</v>
      </c>
      <c r="R74" s="9">
        <v>0</v>
      </c>
      <c r="S74" s="269">
        <v>0</v>
      </c>
      <c r="T74" s="269">
        <v>0</v>
      </c>
      <c r="U74" s="269">
        <v>0</v>
      </c>
      <c r="V74" s="269">
        <f t="shared" si="37"/>
        <v>0</v>
      </c>
    </row>
    <row r="75" spans="1:22" ht="30" x14ac:dyDescent="0.25">
      <c r="A75" s="103">
        <v>72</v>
      </c>
      <c r="B75" s="102"/>
      <c r="C75" s="3"/>
      <c r="D75" s="3"/>
      <c r="E75" s="20" t="s">
        <v>32</v>
      </c>
      <c r="F75" s="9">
        <v>0</v>
      </c>
      <c r="G75" s="12">
        <v>0</v>
      </c>
      <c r="H75" s="9">
        <v>0</v>
      </c>
      <c r="I75" s="3">
        <v>0</v>
      </c>
      <c r="J75" s="9">
        <f t="shared" si="36"/>
        <v>0</v>
      </c>
      <c r="K75" s="3">
        <v>0</v>
      </c>
      <c r="L75" s="26">
        <v>0</v>
      </c>
      <c r="M75" s="50">
        <v>0</v>
      </c>
      <c r="N75" s="94">
        <v>0</v>
      </c>
      <c r="O75" s="9">
        <v>0</v>
      </c>
      <c r="P75" s="9">
        <v>0</v>
      </c>
      <c r="Q75" s="9">
        <v>0</v>
      </c>
      <c r="R75" s="9">
        <v>0</v>
      </c>
      <c r="S75" s="269">
        <v>0</v>
      </c>
      <c r="T75" s="269">
        <v>0</v>
      </c>
      <c r="U75" s="269">
        <v>0</v>
      </c>
      <c r="V75" s="269">
        <f t="shared" si="37"/>
        <v>0</v>
      </c>
    </row>
    <row r="76" spans="1:22" x14ac:dyDescent="0.25">
      <c r="A76" s="103">
        <v>73</v>
      </c>
      <c r="B76" s="102"/>
      <c r="C76" s="3"/>
      <c r="D76" s="3"/>
      <c r="E76" s="20" t="s">
        <v>33</v>
      </c>
      <c r="F76" s="9">
        <v>0</v>
      </c>
      <c r="G76" s="12">
        <v>0</v>
      </c>
      <c r="H76" s="9">
        <v>0</v>
      </c>
      <c r="I76" s="3">
        <v>0</v>
      </c>
      <c r="J76" s="9">
        <f t="shared" si="36"/>
        <v>0</v>
      </c>
      <c r="K76" s="3">
        <v>0</v>
      </c>
      <c r="L76" s="26">
        <v>0</v>
      </c>
      <c r="M76" s="50">
        <v>0</v>
      </c>
      <c r="N76" s="94">
        <v>0</v>
      </c>
      <c r="O76" s="9">
        <v>0</v>
      </c>
      <c r="P76" s="9">
        <v>0</v>
      </c>
      <c r="Q76" s="9">
        <v>0</v>
      </c>
      <c r="R76" s="9">
        <v>0</v>
      </c>
      <c r="S76" s="269">
        <v>0</v>
      </c>
      <c r="T76" s="269">
        <v>0</v>
      </c>
      <c r="U76" s="269">
        <v>0</v>
      </c>
      <c r="V76" s="269">
        <f t="shared" si="37"/>
        <v>0</v>
      </c>
    </row>
    <row r="77" spans="1:22" x14ac:dyDescent="0.25">
      <c r="A77" s="24">
        <v>74</v>
      </c>
      <c r="B77" s="102"/>
      <c r="C77" s="3"/>
      <c r="D77" s="3"/>
      <c r="E77" s="20" t="s">
        <v>34</v>
      </c>
      <c r="F77" s="9">
        <v>0</v>
      </c>
      <c r="G77" s="12">
        <v>0</v>
      </c>
      <c r="H77" s="9">
        <v>0</v>
      </c>
      <c r="I77" s="3">
        <v>0</v>
      </c>
      <c r="J77" s="9">
        <f t="shared" si="36"/>
        <v>0</v>
      </c>
      <c r="K77" s="3">
        <v>0</v>
      </c>
      <c r="L77" s="26">
        <v>0</v>
      </c>
      <c r="M77" s="50">
        <v>0</v>
      </c>
      <c r="N77" s="94">
        <v>0</v>
      </c>
      <c r="O77" s="9">
        <v>0</v>
      </c>
      <c r="P77" s="9">
        <v>0</v>
      </c>
      <c r="Q77" s="9">
        <v>0</v>
      </c>
      <c r="R77" s="9">
        <v>0</v>
      </c>
      <c r="S77" s="269">
        <v>0</v>
      </c>
      <c r="T77" s="269">
        <v>0</v>
      </c>
      <c r="U77" s="269">
        <v>0</v>
      </c>
      <c r="V77" s="269">
        <f t="shared" si="37"/>
        <v>0</v>
      </c>
    </row>
    <row r="78" spans="1:22" x14ac:dyDescent="0.25">
      <c r="A78" s="103">
        <v>75</v>
      </c>
      <c r="B78" s="102"/>
      <c r="C78" s="3"/>
      <c r="D78" s="3"/>
      <c r="E78" s="20" t="s">
        <v>35</v>
      </c>
      <c r="F78" s="9">
        <v>0</v>
      </c>
      <c r="G78" s="12">
        <v>0</v>
      </c>
      <c r="H78" s="9">
        <v>0</v>
      </c>
      <c r="I78" s="3">
        <v>0</v>
      </c>
      <c r="J78" s="9">
        <f t="shared" si="36"/>
        <v>0</v>
      </c>
      <c r="K78" s="3">
        <v>0</v>
      </c>
      <c r="L78" s="26">
        <v>0</v>
      </c>
      <c r="M78" s="50">
        <v>0</v>
      </c>
      <c r="N78" s="94">
        <v>0</v>
      </c>
      <c r="O78" s="9">
        <v>0</v>
      </c>
      <c r="P78" s="9">
        <v>0</v>
      </c>
      <c r="Q78" s="9">
        <v>0</v>
      </c>
      <c r="R78" s="9">
        <v>0</v>
      </c>
      <c r="S78" s="269">
        <v>0</v>
      </c>
      <c r="T78" s="269">
        <v>0</v>
      </c>
      <c r="U78" s="269">
        <v>0</v>
      </c>
      <c r="V78" s="269">
        <f t="shared" si="37"/>
        <v>0</v>
      </c>
    </row>
    <row r="79" spans="1:22" x14ac:dyDescent="0.25">
      <c r="A79" s="103">
        <v>76</v>
      </c>
      <c r="B79" s="102"/>
      <c r="C79" s="3"/>
      <c r="D79" s="3" t="s">
        <v>47</v>
      </c>
      <c r="E79" s="21"/>
      <c r="F79" s="9">
        <v>0</v>
      </c>
      <c r="G79" s="12">
        <v>0</v>
      </c>
      <c r="H79" s="9">
        <v>0</v>
      </c>
      <c r="I79" s="3">
        <v>0</v>
      </c>
      <c r="J79" s="9">
        <f t="shared" si="36"/>
        <v>0</v>
      </c>
      <c r="K79" s="3">
        <v>0</v>
      </c>
      <c r="L79" s="26">
        <v>0</v>
      </c>
      <c r="M79" s="50">
        <v>0</v>
      </c>
      <c r="N79" s="94">
        <v>0</v>
      </c>
      <c r="O79" s="9">
        <v>0</v>
      </c>
      <c r="P79" s="9">
        <v>0</v>
      </c>
      <c r="Q79" s="9">
        <v>0</v>
      </c>
      <c r="R79" s="9">
        <v>0</v>
      </c>
      <c r="S79" s="269">
        <v>0</v>
      </c>
      <c r="T79" s="269">
        <v>0</v>
      </c>
      <c r="U79" s="269">
        <v>0</v>
      </c>
      <c r="V79" s="269">
        <f t="shared" si="37"/>
        <v>0</v>
      </c>
    </row>
    <row r="80" spans="1:22" x14ac:dyDescent="0.25">
      <c r="A80" s="24">
        <v>77</v>
      </c>
      <c r="B80" s="102"/>
      <c r="C80" s="3"/>
      <c r="D80" s="3" t="s">
        <v>37</v>
      </c>
      <c r="E80" s="21"/>
      <c r="F80" s="9">
        <v>0</v>
      </c>
      <c r="G80" s="9">
        <v>3547</v>
      </c>
      <c r="H80" s="9">
        <v>0</v>
      </c>
      <c r="I80" s="3">
        <v>800</v>
      </c>
      <c r="J80" s="9">
        <f t="shared" si="36"/>
        <v>800</v>
      </c>
      <c r="K80" s="3">
        <v>500</v>
      </c>
      <c r="L80" s="29">
        <f>K80+J80</f>
        <v>1300</v>
      </c>
      <c r="M80" s="50">
        <v>0</v>
      </c>
      <c r="N80" s="94">
        <v>1300</v>
      </c>
      <c r="O80" s="9">
        <v>0</v>
      </c>
      <c r="P80" s="9">
        <v>0</v>
      </c>
      <c r="Q80" s="9">
        <v>0</v>
      </c>
      <c r="R80" s="9">
        <v>0</v>
      </c>
      <c r="S80" s="269">
        <v>0</v>
      </c>
      <c r="T80" s="269">
        <v>0</v>
      </c>
      <c r="U80" s="269">
        <v>725</v>
      </c>
      <c r="V80" s="269">
        <f t="shared" si="37"/>
        <v>725</v>
      </c>
    </row>
    <row r="81" spans="1:22" x14ac:dyDescent="0.25">
      <c r="A81" s="103">
        <v>78</v>
      </c>
      <c r="B81" s="102"/>
      <c r="C81" s="3" t="s">
        <v>38</v>
      </c>
      <c r="D81" s="3"/>
      <c r="E81" s="21"/>
      <c r="F81" s="9">
        <v>0</v>
      </c>
      <c r="G81" s="12">
        <v>0</v>
      </c>
      <c r="H81" s="9">
        <v>0</v>
      </c>
      <c r="I81" s="3">
        <v>0</v>
      </c>
      <c r="J81" s="9">
        <f t="shared" si="36"/>
        <v>0</v>
      </c>
      <c r="K81" s="3">
        <v>0</v>
      </c>
      <c r="L81" s="26">
        <v>0</v>
      </c>
      <c r="M81" s="50">
        <v>0</v>
      </c>
      <c r="N81" s="94">
        <v>0</v>
      </c>
      <c r="O81" s="9">
        <v>0</v>
      </c>
      <c r="P81" s="9">
        <v>0</v>
      </c>
      <c r="Q81" s="9">
        <v>0</v>
      </c>
      <c r="R81" s="9">
        <v>0</v>
      </c>
      <c r="S81" s="269">
        <v>0</v>
      </c>
      <c r="T81" s="269">
        <v>0</v>
      </c>
      <c r="U81" s="269">
        <v>62</v>
      </c>
      <c r="V81" s="269">
        <f t="shared" si="37"/>
        <v>62</v>
      </c>
    </row>
    <row r="82" spans="1:22" x14ac:dyDescent="0.25">
      <c r="A82" s="103">
        <v>79</v>
      </c>
      <c r="B82" s="102"/>
      <c r="C82" s="3" t="s">
        <v>39</v>
      </c>
      <c r="D82" s="3"/>
      <c r="E82" s="21"/>
      <c r="F82" s="9">
        <v>0</v>
      </c>
      <c r="G82" s="12">
        <v>0</v>
      </c>
      <c r="H82" s="9">
        <v>0</v>
      </c>
      <c r="I82" s="3">
        <v>0</v>
      </c>
      <c r="J82" s="9">
        <f t="shared" si="36"/>
        <v>0</v>
      </c>
      <c r="K82" s="3">
        <v>0</v>
      </c>
      <c r="L82" s="26">
        <v>0</v>
      </c>
      <c r="M82" s="50">
        <v>0</v>
      </c>
      <c r="N82" s="94">
        <v>0</v>
      </c>
      <c r="O82" s="9">
        <v>0</v>
      </c>
      <c r="P82" s="9">
        <v>0</v>
      </c>
      <c r="Q82" s="9">
        <v>0</v>
      </c>
      <c r="R82" s="9">
        <v>0</v>
      </c>
      <c r="S82" s="269">
        <v>0</v>
      </c>
      <c r="T82" s="269">
        <v>0</v>
      </c>
      <c r="U82" s="269">
        <v>0</v>
      </c>
      <c r="V82" s="269">
        <f t="shared" si="37"/>
        <v>0</v>
      </c>
    </row>
    <row r="83" spans="1:22" x14ac:dyDescent="0.25">
      <c r="A83" s="24">
        <v>80</v>
      </c>
      <c r="B83" s="102"/>
      <c r="C83" s="3" t="s">
        <v>304</v>
      </c>
      <c r="D83" s="3"/>
      <c r="E83" s="21"/>
      <c r="F83" s="9"/>
      <c r="G83" s="3"/>
      <c r="H83" s="9"/>
      <c r="I83" s="9"/>
      <c r="J83" s="9"/>
      <c r="K83" s="9"/>
      <c r="L83" s="29"/>
      <c r="M83" s="50"/>
      <c r="N83" s="94"/>
      <c r="O83" s="9">
        <f t="shared" ref="O83:V83" si="38">SUM(O84:O87)</f>
        <v>0</v>
      </c>
      <c r="P83" s="123">
        <f t="shared" si="38"/>
        <v>0</v>
      </c>
      <c r="Q83" s="123">
        <f t="shared" si="38"/>
        <v>0</v>
      </c>
      <c r="R83" s="123">
        <f t="shared" si="38"/>
        <v>0</v>
      </c>
      <c r="S83" s="270">
        <f t="shared" si="38"/>
        <v>0</v>
      </c>
      <c r="T83" s="270">
        <f t="shared" si="38"/>
        <v>0</v>
      </c>
      <c r="U83" s="270">
        <f t="shared" si="38"/>
        <v>0</v>
      </c>
      <c r="V83" s="270">
        <f t="shared" si="38"/>
        <v>0</v>
      </c>
    </row>
    <row r="84" spans="1:22" x14ac:dyDescent="0.25">
      <c r="A84" s="103">
        <v>81</v>
      </c>
      <c r="B84" s="102"/>
      <c r="C84" s="3"/>
      <c r="D84" s="3" t="s">
        <v>306</v>
      </c>
      <c r="E84" s="21"/>
      <c r="F84" s="9"/>
      <c r="G84" s="3"/>
      <c r="H84" s="9"/>
      <c r="I84" s="9"/>
      <c r="J84" s="9"/>
      <c r="K84" s="9"/>
      <c r="L84" s="29"/>
      <c r="M84" s="50"/>
      <c r="N84" s="94"/>
      <c r="O84" s="9">
        <v>0</v>
      </c>
      <c r="P84" s="9">
        <v>0</v>
      </c>
      <c r="Q84" s="9">
        <v>0</v>
      </c>
      <c r="R84" s="9">
        <v>0</v>
      </c>
      <c r="S84" s="269">
        <v>0</v>
      </c>
      <c r="T84" s="269">
        <v>0</v>
      </c>
      <c r="U84" s="269">
        <v>0</v>
      </c>
      <c r="V84" s="269">
        <v>0</v>
      </c>
    </row>
    <row r="85" spans="1:22" x14ac:dyDescent="0.25">
      <c r="A85" s="103">
        <v>82</v>
      </c>
      <c r="B85" s="102"/>
      <c r="C85" s="3"/>
      <c r="D85" s="3" t="s">
        <v>305</v>
      </c>
      <c r="E85" s="21"/>
      <c r="F85" s="9"/>
      <c r="G85" s="3"/>
      <c r="H85" s="9"/>
      <c r="I85" s="9"/>
      <c r="J85" s="9"/>
      <c r="K85" s="9"/>
      <c r="L85" s="29"/>
      <c r="M85" s="50"/>
      <c r="N85" s="94"/>
      <c r="O85" s="9">
        <v>0</v>
      </c>
      <c r="P85" s="9">
        <v>0</v>
      </c>
      <c r="Q85" s="9">
        <v>0</v>
      </c>
      <c r="R85" s="9">
        <v>0</v>
      </c>
      <c r="S85" s="269">
        <v>0</v>
      </c>
      <c r="T85" s="269">
        <v>0</v>
      </c>
      <c r="U85" s="269">
        <v>0</v>
      </c>
      <c r="V85" s="269">
        <v>0</v>
      </c>
    </row>
    <row r="86" spans="1:22" x14ac:dyDescent="0.25">
      <c r="A86" s="24">
        <v>83</v>
      </c>
      <c r="B86" s="102"/>
      <c r="C86" s="3"/>
      <c r="D86" s="3" t="s">
        <v>307</v>
      </c>
      <c r="E86" s="21"/>
      <c r="F86" s="9"/>
      <c r="G86" s="3"/>
      <c r="H86" s="9"/>
      <c r="I86" s="9"/>
      <c r="J86" s="9"/>
      <c r="K86" s="9"/>
      <c r="L86" s="29"/>
      <c r="M86" s="50"/>
      <c r="N86" s="94"/>
      <c r="O86" s="9">
        <v>0</v>
      </c>
      <c r="P86" s="9">
        <v>0</v>
      </c>
      <c r="Q86" s="9">
        <v>0</v>
      </c>
      <c r="R86" s="9">
        <v>0</v>
      </c>
      <c r="S86" s="269">
        <v>0</v>
      </c>
      <c r="T86" s="269">
        <v>0</v>
      </c>
      <c r="U86" s="269">
        <v>0</v>
      </c>
      <c r="V86" s="269">
        <v>0</v>
      </c>
    </row>
    <row r="87" spans="1:22" x14ac:dyDescent="0.25">
      <c r="A87" s="103">
        <v>84</v>
      </c>
      <c r="B87" s="102"/>
      <c r="C87" s="3"/>
      <c r="D87" s="3" t="s">
        <v>308</v>
      </c>
      <c r="E87" s="21"/>
      <c r="F87" s="9"/>
      <c r="G87" s="3"/>
      <c r="H87" s="9"/>
      <c r="I87" s="9"/>
      <c r="J87" s="9"/>
      <c r="K87" s="9"/>
      <c r="L87" s="29"/>
      <c r="M87" s="50"/>
      <c r="N87" s="94"/>
      <c r="O87" s="9">
        <v>0</v>
      </c>
      <c r="P87" s="9">
        <v>0</v>
      </c>
      <c r="Q87" s="9">
        <v>0</v>
      </c>
      <c r="R87" s="9">
        <v>0</v>
      </c>
      <c r="S87" s="269">
        <v>0</v>
      </c>
      <c r="T87" s="269">
        <v>0</v>
      </c>
      <c r="U87" s="269">
        <v>0</v>
      </c>
      <c r="V87" s="269">
        <v>0</v>
      </c>
    </row>
    <row r="88" spans="1:22" x14ac:dyDescent="0.25">
      <c r="A88" s="103">
        <v>85</v>
      </c>
      <c r="B88" s="101" t="s">
        <v>40</v>
      </c>
      <c r="C88" s="16"/>
      <c r="D88" s="16"/>
      <c r="E88" s="17"/>
      <c r="F88" s="9">
        <v>0</v>
      </c>
      <c r="G88" s="12">
        <v>0</v>
      </c>
      <c r="H88" s="11">
        <v>0</v>
      </c>
      <c r="I88" s="16">
        <v>0</v>
      </c>
      <c r="J88" s="11">
        <f t="shared" si="36"/>
        <v>0</v>
      </c>
      <c r="K88" s="16">
        <v>0</v>
      </c>
      <c r="L88" s="82">
        <v>0</v>
      </c>
      <c r="M88" s="90">
        <v>0</v>
      </c>
      <c r="N88" s="95">
        <v>0</v>
      </c>
      <c r="O88" s="11">
        <v>0</v>
      </c>
      <c r="P88" s="111">
        <v>0</v>
      </c>
      <c r="Q88" s="111">
        <v>0</v>
      </c>
      <c r="R88" s="111">
        <v>0</v>
      </c>
      <c r="S88" s="112">
        <v>0</v>
      </c>
      <c r="T88" s="112">
        <v>0</v>
      </c>
      <c r="U88" s="112">
        <v>0</v>
      </c>
      <c r="V88" s="112">
        <v>0</v>
      </c>
    </row>
    <row r="89" spans="1:22" x14ac:dyDescent="0.25">
      <c r="A89" s="24">
        <v>86</v>
      </c>
      <c r="B89" s="102"/>
      <c r="C89" s="3" t="s">
        <v>41</v>
      </c>
      <c r="D89" s="3"/>
      <c r="E89" s="7"/>
      <c r="F89" s="9">
        <v>0</v>
      </c>
      <c r="G89" s="12">
        <v>0</v>
      </c>
      <c r="H89" s="9">
        <v>0</v>
      </c>
      <c r="I89" s="3">
        <v>0</v>
      </c>
      <c r="J89" s="9">
        <f t="shared" si="36"/>
        <v>0</v>
      </c>
      <c r="K89" s="3">
        <v>0</v>
      </c>
      <c r="L89" s="26">
        <v>0</v>
      </c>
      <c r="M89" s="50">
        <v>0</v>
      </c>
      <c r="N89" s="94">
        <v>0</v>
      </c>
      <c r="O89" s="9">
        <v>0</v>
      </c>
      <c r="P89" s="9">
        <v>0</v>
      </c>
      <c r="Q89" s="9">
        <v>0</v>
      </c>
      <c r="R89" s="9">
        <v>0</v>
      </c>
      <c r="S89" s="269">
        <v>0</v>
      </c>
      <c r="T89" s="269">
        <v>0</v>
      </c>
      <c r="U89" s="269">
        <v>0</v>
      </c>
      <c r="V89" s="269">
        <f t="shared" ref="V89:V92" si="39">T89+U89</f>
        <v>0</v>
      </c>
    </row>
    <row r="90" spans="1:22" x14ac:dyDescent="0.25">
      <c r="A90" s="103">
        <v>87</v>
      </c>
      <c r="B90" s="102"/>
      <c r="C90" s="3" t="s">
        <v>42</v>
      </c>
      <c r="D90" s="3"/>
      <c r="E90" s="7"/>
      <c r="F90" s="9">
        <v>0</v>
      </c>
      <c r="G90" s="12">
        <v>0</v>
      </c>
      <c r="H90" s="9">
        <v>0</v>
      </c>
      <c r="I90" s="3">
        <v>0</v>
      </c>
      <c r="J90" s="9">
        <f t="shared" si="36"/>
        <v>0</v>
      </c>
      <c r="K90" s="3">
        <v>0</v>
      </c>
      <c r="L90" s="26">
        <v>0</v>
      </c>
      <c r="M90" s="50">
        <v>0</v>
      </c>
      <c r="N90" s="94">
        <v>0</v>
      </c>
      <c r="O90" s="9">
        <v>0</v>
      </c>
      <c r="P90" s="9">
        <v>0</v>
      </c>
      <c r="Q90" s="9">
        <v>0</v>
      </c>
      <c r="R90" s="9">
        <v>0</v>
      </c>
      <c r="S90" s="269">
        <v>0</v>
      </c>
      <c r="T90" s="269">
        <v>0</v>
      </c>
      <c r="U90" s="269">
        <v>0</v>
      </c>
      <c r="V90" s="269">
        <f t="shared" si="39"/>
        <v>0</v>
      </c>
    </row>
    <row r="91" spans="1:22" x14ac:dyDescent="0.25">
      <c r="A91" s="103">
        <v>88</v>
      </c>
      <c r="B91" s="102"/>
      <c r="C91" s="3" t="s">
        <v>44</v>
      </c>
      <c r="D91" s="3"/>
      <c r="E91" s="7"/>
      <c r="F91" s="9">
        <v>0</v>
      </c>
      <c r="G91" s="12">
        <v>0</v>
      </c>
      <c r="H91" s="11">
        <v>0</v>
      </c>
      <c r="I91" s="3">
        <v>0</v>
      </c>
      <c r="J91" s="9">
        <f t="shared" si="36"/>
        <v>0</v>
      </c>
      <c r="K91" s="3">
        <v>0</v>
      </c>
      <c r="L91" s="26">
        <v>0</v>
      </c>
      <c r="M91" s="50">
        <v>0</v>
      </c>
      <c r="N91" s="94">
        <v>0</v>
      </c>
      <c r="O91" s="9">
        <v>0</v>
      </c>
      <c r="P91" s="9">
        <v>0</v>
      </c>
      <c r="Q91" s="9">
        <v>0</v>
      </c>
      <c r="R91" s="9">
        <v>0</v>
      </c>
      <c r="S91" s="269">
        <v>0</v>
      </c>
      <c r="T91" s="269">
        <v>0</v>
      </c>
      <c r="U91" s="269">
        <v>0</v>
      </c>
      <c r="V91" s="269">
        <f t="shared" si="39"/>
        <v>0</v>
      </c>
    </row>
    <row r="92" spans="1:22" x14ac:dyDescent="0.25">
      <c r="A92" s="24">
        <v>89</v>
      </c>
      <c r="B92" s="102"/>
      <c r="C92" s="3" t="s">
        <v>43</v>
      </c>
      <c r="D92" s="3"/>
      <c r="E92" s="7"/>
      <c r="F92" s="9">
        <v>0</v>
      </c>
      <c r="G92" s="12">
        <v>0</v>
      </c>
      <c r="H92" s="11">
        <v>0</v>
      </c>
      <c r="I92" s="3">
        <v>0</v>
      </c>
      <c r="J92" s="9">
        <f t="shared" si="36"/>
        <v>0</v>
      </c>
      <c r="K92" s="3">
        <v>0</v>
      </c>
      <c r="L92" s="26">
        <v>0</v>
      </c>
      <c r="M92" s="50">
        <v>0</v>
      </c>
      <c r="N92" s="94">
        <v>0</v>
      </c>
      <c r="O92" s="9">
        <v>0</v>
      </c>
      <c r="P92" s="9">
        <v>0</v>
      </c>
      <c r="Q92" s="9">
        <v>0</v>
      </c>
      <c r="R92" s="9">
        <v>0</v>
      </c>
      <c r="S92" s="269">
        <v>0</v>
      </c>
      <c r="T92" s="269">
        <v>0</v>
      </c>
      <c r="U92" s="269">
        <v>0</v>
      </c>
      <c r="V92" s="269">
        <f t="shared" si="39"/>
        <v>0</v>
      </c>
    </row>
    <row r="93" spans="1:22" x14ac:dyDescent="0.25">
      <c r="A93" s="103">
        <v>90</v>
      </c>
      <c r="B93" s="101" t="s">
        <v>45</v>
      </c>
      <c r="C93" s="16"/>
      <c r="D93" s="16"/>
      <c r="E93" s="17"/>
      <c r="F93" s="11">
        <f>+F94+F95</f>
        <v>304605</v>
      </c>
      <c r="G93" s="11">
        <v>306486</v>
      </c>
      <c r="H93" s="11">
        <f t="shared" ref="H93:I93" si="40">+H94+H95</f>
        <v>324000</v>
      </c>
      <c r="I93" s="11">
        <f t="shared" si="40"/>
        <v>616</v>
      </c>
      <c r="J93" s="11">
        <f>I93+H93</f>
        <v>324616</v>
      </c>
      <c r="K93" s="16">
        <f>K94+K95</f>
        <v>473</v>
      </c>
      <c r="L93" s="31">
        <f>J93+K93</f>
        <v>325089</v>
      </c>
      <c r="M93" s="90">
        <v>109</v>
      </c>
      <c r="N93" s="88">
        <f>L93+M93</f>
        <v>325198</v>
      </c>
      <c r="O93" s="11">
        <f>O94+O95</f>
        <v>336000</v>
      </c>
      <c r="P93" s="111">
        <f t="shared" ref="P93:U93" si="41">SUM(P94:P95)</f>
        <v>386873</v>
      </c>
      <c r="Q93" s="111">
        <f t="shared" si="41"/>
        <v>394562</v>
      </c>
      <c r="R93" s="111">
        <f t="shared" si="41"/>
        <v>457521</v>
      </c>
      <c r="S93" s="112">
        <f t="shared" si="41"/>
        <v>588141</v>
      </c>
      <c r="T93" s="112">
        <f t="shared" si="41"/>
        <v>734429</v>
      </c>
      <c r="U93" s="112">
        <f t="shared" si="41"/>
        <v>-31713</v>
      </c>
      <c r="V93" s="112">
        <f>T93+U93</f>
        <v>702716</v>
      </c>
    </row>
    <row r="94" spans="1:22" x14ac:dyDescent="0.25">
      <c r="A94" s="103">
        <v>91</v>
      </c>
      <c r="B94" s="102"/>
      <c r="C94" s="3" t="s">
        <v>46</v>
      </c>
      <c r="D94" s="3"/>
      <c r="E94" s="7"/>
      <c r="F94" s="9">
        <v>0</v>
      </c>
      <c r="G94" s="9">
        <v>435</v>
      </c>
      <c r="H94" s="9">
        <v>0</v>
      </c>
      <c r="I94" s="3">
        <v>616</v>
      </c>
      <c r="J94" s="9">
        <f t="shared" si="36"/>
        <v>616</v>
      </c>
      <c r="K94" s="3">
        <v>0</v>
      </c>
      <c r="L94" s="26">
        <v>616</v>
      </c>
      <c r="M94" s="50">
        <v>0</v>
      </c>
      <c r="N94" s="94">
        <v>616</v>
      </c>
      <c r="O94" s="9">
        <v>0</v>
      </c>
      <c r="P94" s="9">
        <v>0</v>
      </c>
      <c r="Q94" s="9">
        <v>0</v>
      </c>
      <c r="R94" s="9">
        <v>0</v>
      </c>
      <c r="S94" s="269">
        <v>0</v>
      </c>
      <c r="T94" s="269">
        <v>0</v>
      </c>
      <c r="U94" s="269">
        <v>2010</v>
      </c>
      <c r="V94" s="269">
        <f t="shared" ref="V94:V95" si="42">T94+U94</f>
        <v>2010</v>
      </c>
    </row>
    <row r="95" spans="1:22" x14ac:dyDescent="0.25">
      <c r="A95" s="24">
        <v>92</v>
      </c>
      <c r="B95" s="102"/>
      <c r="C95" s="3" t="s">
        <v>49</v>
      </c>
      <c r="D95" s="3"/>
      <c r="E95" s="7"/>
      <c r="F95" s="9">
        <v>304605</v>
      </c>
      <c r="G95" s="9">
        <v>306051</v>
      </c>
      <c r="H95" s="9">
        <v>324000</v>
      </c>
      <c r="I95" s="3">
        <v>0</v>
      </c>
      <c r="J95" s="9">
        <v>324000</v>
      </c>
      <c r="K95" s="3">
        <v>473</v>
      </c>
      <c r="L95" s="29">
        <f>J95+K95</f>
        <v>324473</v>
      </c>
      <c r="M95" s="50">
        <v>109</v>
      </c>
      <c r="N95" s="27">
        <f>L95+M95</f>
        <v>324582</v>
      </c>
      <c r="O95" s="9">
        <v>336000</v>
      </c>
      <c r="P95" s="9">
        <v>386873</v>
      </c>
      <c r="Q95" s="9">
        <v>394562</v>
      </c>
      <c r="R95" s="9">
        <v>457521</v>
      </c>
      <c r="S95" s="269">
        <v>588141</v>
      </c>
      <c r="T95" s="269">
        <v>734429</v>
      </c>
      <c r="U95" s="269">
        <v>-33723</v>
      </c>
      <c r="V95" s="269">
        <f t="shared" si="42"/>
        <v>700706</v>
      </c>
    </row>
    <row r="96" spans="1:22" x14ac:dyDescent="0.25">
      <c r="A96" s="103">
        <v>93</v>
      </c>
      <c r="B96" s="101" t="s">
        <v>19</v>
      </c>
      <c r="C96" s="16"/>
      <c r="D96" s="16"/>
      <c r="E96" s="17"/>
      <c r="F96" s="11">
        <f>+F93+F88+F70</f>
        <v>304605</v>
      </c>
      <c r="G96" s="11">
        <f>+G93+G88+G70</f>
        <v>310034</v>
      </c>
      <c r="H96" s="11">
        <f>H70+H88+H93</f>
        <v>324000</v>
      </c>
      <c r="I96" s="11">
        <f>I70+I88+I93</f>
        <v>1416</v>
      </c>
      <c r="J96" s="11">
        <f>I96+H96</f>
        <v>325416</v>
      </c>
      <c r="K96" s="11">
        <f>K70+K93</f>
        <v>973</v>
      </c>
      <c r="L96" s="31">
        <f t="shared" ref="L96" si="43">K96+J96</f>
        <v>326389</v>
      </c>
      <c r="M96" s="90">
        <v>109</v>
      </c>
      <c r="N96" s="88">
        <f>L96+M96</f>
        <v>326498</v>
      </c>
      <c r="O96" s="11">
        <f>O70+O88+O93</f>
        <v>336000</v>
      </c>
      <c r="P96" s="111">
        <f t="shared" ref="P96:U96" si="44">SUM(P93,P88,P70)</f>
        <v>386873</v>
      </c>
      <c r="Q96" s="111">
        <f t="shared" si="44"/>
        <v>394562</v>
      </c>
      <c r="R96" s="111">
        <f t="shared" si="44"/>
        <v>457521</v>
      </c>
      <c r="S96" s="112">
        <f t="shared" si="44"/>
        <v>588141</v>
      </c>
      <c r="T96" s="112">
        <f t="shared" si="44"/>
        <v>734429</v>
      </c>
      <c r="U96" s="112">
        <f t="shared" si="44"/>
        <v>-30926</v>
      </c>
      <c r="V96" s="112">
        <f>T96+U96</f>
        <v>703503</v>
      </c>
    </row>
    <row r="97" spans="1:22" ht="78" customHeight="1" x14ac:dyDescent="0.25">
      <c r="A97" s="103">
        <v>94</v>
      </c>
      <c r="B97" s="101" t="s">
        <v>22</v>
      </c>
      <c r="C97" s="3"/>
      <c r="D97" s="3"/>
      <c r="E97" s="7"/>
      <c r="F97" s="15" t="s">
        <v>107</v>
      </c>
      <c r="G97" s="6" t="s">
        <v>113</v>
      </c>
      <c r="H97" s="6" t="s">
        <v>112</v>
      </c>
      <c r="I97" s="24" t="s">
        <v>111</v>
      </c>
      <c r="J97" s="6" t="s">
        <v>115</v>
      </c>
      <c r="K97" s="24" t="s">
        <v>111</v>
      </c>
      <c r="L97" s="79" t="s">
        <v>257</v>
      </c>
      <c r="M97" s="89" t="s">
        <v>111</v>
      </c>
      <c r="N97" s="79" t="s">
        <v>262</v>
      </c>
      <c r="O97" s="6" t="str">
        <f>$O$4</f>
        <v>Előirányzat
4/2020. (III.05.) önkormányzati rendelet</v>
      </c>
      <c r="P97" s="6" t="s">
        <v>311</v>
      </c>
      <c r="Q97" s="6" t="str">
        <f>Q$4</f>
        <v>Előirányzat
3/2022. (II.10.) önkormányzati rendelet</v>
      </c>
      <c r="R97" s="6" t="str">
        <f>R$4</f>
        <v>Előirányzat
1./2023. (II.23.) önkormányzati rendelet</v>
      </c>
      <c r="S97" s="6" t="str">
        <f>S$4</f>
        <v>Előirányzat
1./2024. (II)22. önkormányzati rendelet</v>
      </c>
      <c r="T97" s="266" t="str">
        <f>T$4</f>
        <v>Előirányzat
2/2025. (II.20.) önkormányzati rendelet</v>
      </c>
      <c r="U97" s="266" t="s">
        <v>111</v>
      </c>
      <c r="V97" s="266" t="str">
        <f>V4</f>
        <v>Módosított előirányzat</v>
      </c>
    </row>
    <row r="98" spans="1:22" x14ac:dyDescent="0.25">
      <c r="A98" s="24">
        <v>95</v>
      </c>
      <c r="B98" s="101" t="s">
        <v>25</v>
      </c>
      <c r="C98" s="3"/>
      <c r="D98" s="3"/>
      <c r="E98" s="7"/>
      <c r="F98" s="9"/>
      <c r="G98" s="3"/>
      <c r="H98" s="9"/>
      <c r="I98" s="3"/>
      <c r="J98" s="3"/>
      <c r="K98" s="3"/>
      <c r="L98" s="26"/>
      <c r="M98" s="50"/>
      <c r="N98" s="94"/>
      <c r="O98" s="9"/>
      <c r="P98" s="9"/>
      <c r="Q98" s="9"/>
      <c r="R98" s="9"/>
      <c r="S98" s="9"/>
      <c r="T98" s="269"/>
      <c r="U98" s="269"/>
      <c r="V98" s="269"/>
    </row>
    <row r="99" spans="1:22" x14ac:dyDescent="0.25">
      <c r="A99" s="103">
        <v>96</v>
      </c>
      <c r="B99" s="101"/>
      <c r="C99" s="3" t="s">
        <v>26</v>
      </c>
      <c r="D99" s="3"/>
      <c r="E99" s="7"/>
      <c r="F99" s="9"/>
      <c r="G99" s="3"/>
      <c r="H99" s="9"/>
      <c r="I99" s="3"/>
      <c r="J99" s="3"/>
      <c r="K99" s="3"/>
      <c r="L99" s="26"/>
      <c r="M99" s="50"/>
      <c r="N99" s="94"/>
      <c r="O99" s="9"/>
      <c r="P99" s="9"/>
      <c r="Q99" s="9"/>
      <c r="R99" s="9"/>
      <c r="S99" s="9"/>
      <c r="T99" s="269"/>
      <c r="U99" s="269"/>
      <c r="V99" s="269"/>
    </row>
    <row r="100" spans="1:22" x14ac:dyDescent="0.25">
      <c r="A100" s="103">
        <v>97</v>
      </c>
      <c r="B100" s="101" t="s">
        <v>28</v>
      </c>
      <c r="C100" s="16"/>
      <c r="D100" s="16"/>
      <c r="E100" s="17"/>
      <c r="F100" s="11">
        <f>+F101+F111+F112</f>
        <v>4538</v>
      </c>
      <c r="G100" s="11">
        <f>+G101+G111+G112</f>
        <v>43916</v>
      </c>
      <c r="H100" s="11">
        <f>H101+H111+H112</f>
        <v>2100</v>
      </c>
      <c r="I100" s="33">
        <f>I101+I111+I112</f>
        <v>6587</v>
      </c>
      <c r="J100" s="34">
        <f>I100+H100</f>
        <v>8687</v>
      </c>
      <c r="K100" s="11">
        <v>4196</v>
      </c>
      <c r="L100" s="31">
        <f>L101+L111</f>
        <v>12883</v>
      </c>
      <c r="M100" s="88">
        <f>M101+M111</f>
        <v>4577</v>
      </c>
      <c r="N100" s="88">
        <f>L100+M100</f>
        <v>17460</v>
      </c>
      <c r="O100" s="88">
        <f t="shared" ref="O100:T100" si="45">SUM(O101,O111,O112,O113)</f>
        <v>2100</v>
      </c>
      <c r="P100" s="111">
        <f t="shared" si="45"/>
        <v>2100</v>
      </c>
      <c r="Q100" s="111">
        <f t="shared" si="45"/>
        <v>2100</v>
      </c>
      <c r="R100" s="111">
        <f t="shared" si="45"/>
        <v>2500</v>
      </c>
      <c r="S100" s="111">
        <f t="shared" si="45"/>
        <v>2705</v>
      </c>
      <c r="T100" s="112">
        <f t="shared" si="45"/>
        <v>4200</v>
      </c>
      <c r="U100" s="112">
        <f>U101+U111</f>
        <v>4172</v>
      </c>
      <c r="V100" s="112">
        <f>T100+U100</f>
        <v>8372</v>
      </c>
    </row>
    <row r="101" spans="1:22" x14ac:dyDescent="0.25">
      <c r="A101" s="24">
        <v>98</v>
      </c>
      <c r="B101" s="102"/>
      <c r="C101" s="3" t="s">
        <v>29</v>
      </c>
      <c r="D101" s="3"/>
      <c r="E101" s="7"/>
      <c r="F101" s="9">
        <v>2188</v>
      </c>
      <c r="G101" s="9">
        <v>36559</v>
      </c>
      <c r="H101" s="9">
        <v>0</v>
      </c>
      <c r="I101" s="9">
        <v>1568</v>
      </c>
      <c r="J101" s="9">
        <v>1568</v>
      </c>
      <c r="K101" s="9">
        <v>4196</v>
      </c>
      <c r="L101" s="29">
        <f>K101+J101</f>
        <v>5764</v>
      </c>
      <c r="M101" s="10">
        <v>4577</v>
      </c>
      <c r="N101" s="27">
        <f>L101+M101</f>
        <v>10341</v>
      </c>
      <c r="O101" s="9">
        <v>0</v>
      </c>
      <c r="P101" s="123">
        <f>SUM(P102,P109:P110)</f>
        <v>0</v>
      </c>
      <c r="Q101" s="123">
        <f>SUM(Q102,Q109:Q110)</f>
        <v>0</v>
      </c>
      <c r="R101" s="123">
        <f>SUM(R102,R109:R110)</f>
        <v>0</v>
      </c>
      <c r="S101" s="123">
        <f>SUM(S102,S109:S110)</f>
        <v>0</v>
      </c>
      <c r="T101" s="270">
        <f>SUM(T102,T109:T110)</f>
        <v>0</v>
      </c>
      <c r="U101" s="270">
        <f>SUM(U102:U112)</f>
        <v>4172</v>
      </c>
      <c r="V101" s="270">
        <f>T101+U101</f>
        <v>4172</v>
      </c>
    </row>
    <row r="102" spans="1:22" x14ac:dyDescent="0.25">
      <c r="A102" s="103">
        <v>99</v>
      </c>
      <c r="B102" s="102"/>
      <c r="C102" s="3"/>
      <c r="D102" s="3" t="s">
        <v>36</v>
      </c>
      <c r="E102" s="7"/>
      <c r="F102" s="9">
        <f>SUM(F103:F108)</f>
        <v>0</v>
      </c>
      <c r="G102" s="3">
        <v>0</v>
      </c>
      <c r="H102" s="9">
        <f t="shared" ref="H102" si="46">SUM(H103:H108)</f>
        <v>0</v>
      </c>
      <c r="I102" s="11">
        <v>0</v>
      </c>
      <c r="J102" s="9">
        <f>H102+I102</f>
        <v>0</v>
      </c>
      <c r="K102" s="9">
        <v>0</v>
      </c>
      <c r="L102" s="29">
        <v>0</v>
      </c>
      <c r="M102" s="10">
        <v>0</v>
      </c>
      <c r="N102" s="94">
        <v>0</v>
      </c>
      <c r="O102" s="9">
        <v>0</v>
      </c>
      <c r="P102" s="98">
        <f>SUM(P103:P108)</f>
        <v>0</v>
      </c>
      <c r="Q102" s="98">
        <f>SUM(Q103:Q108)</f>
        <v>0</v>
      </c>
      <c r="R102" s="98">
        <f>SUM(R103:R108)</f>
        <v>0</v>
      </c>
      <c r="S102" s="98">
        <f>SUM(S103:S108)</f>
        <v>0</v>
      </c>
      <c r="T102" s="275">
        <f>SUM(T103:T108)</f>
        <v>0</v>
      </c>
      <c r="U102" s="275">
        <v>0</v>
      </c>
      <c r="V102" s="275">
        <v>0</v>
      </c>
    </row>
    <row r="103" spans="1:22" x14ac:dyDescent="0.25">
      <c r="A103" s="103">
        <v>100</v>
      </c>
      <c r="B103" s="102"/>
      <c r="C103" s="3"/>
      <c r="D103" s="3"/>
      <c r="E103" s="18" t="s">
        <v>30</v>
      </c>
      <c r="F103" s="19">
        <v>0</v>
      </c>
      <c r="G103" s="3">
        <v>0</v>
      </c>
      <c r="H103" s="9">
        <v>0</v>
      </c>
      <c r="I103" s="9">
        <v>0</v>
      </c>
      <c r="J103" s="9">
        <f t="shared" ref="J103:J125" si="47">H103+I103</f>
        <v>0</v>
      </c>
      <c r="K103" s="9">
        <v>0</v>
      </c>
      <c r="L103" s="29">
        <v>0</v>
      </c>
      <c r="M103" s="10">
        <v>0</v>
      </c>
      <c r="N103" s="94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269">
        <v>0</v>
      </c>
      <c r="U103" s="269">
        <v>0</v>
      </c>
      <c r="V103" s="269">
        <v>0</v>
      </c>
    </row>
    <row r="104" spans="1:22" x14ac:dyDescent="0.25">
      <c r="A104" s="24">
        <v>101</v>
      </c>
      <c r="B104" s="102"/>
      <c r="C104" s="3"/>
      <c r="D104" s="3"/>
      <c r="E104" s="18" t="s">
        <v>31</v>
      </c>
      <c r="F104" s="19">
        <v>0</v>
      </c>
      <c r="G104" s="3">
        <v>0</v>
      </c>
      <c r="H104" s="9">
        <v>0</v>
      </c>
      <c r="I104" s="9">
        <v>0</v>
      </c>
      <c r="J104" s="9">
        <f t="shared" si="47"/>
        <v>0</v>
      </c>
      <c r="K104" s="9">
        <v>0</v>
      </c>
      <c r="L104" s="29">
        <v>0</v>
      </c>
      <c r="M104" s="10">
        <v>0</v>
      </c>
      <c r="N104" s="94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269">
        <v>0</v>
      </c>
      <c r="U104" s="269">
        <v>0</v>
      </c>
      <c r="V104" s="269">
        <v>0</v>
      </c>
    </row>
    <row r="105" spans="1:22" ht="30" x14ac:dyDescent="0.25">
      <c r="A105" s="103">
        <v>102</v>
      </c>
      <c r="B105" s="102"/>
      <c r="C105" s="3"/>
      <c r="D105" s="3"/>
      <c r="E105" s="20" t="s">
        <v>32</v>
      </c>
      <c r="F105" s="19">
        <v>0</v>
      </c>
      <c r="G105" s="3">
        <v>0</v>
      </c>
      <c r="H105" s="9">
        <v>0</v>
      </c>
      <c r="I105" s="9">
        <v>0</v>
      </c>
      <c r="J105" s="9">
        <f t="shared" si="47"/>
        <v>0</v>
      </c>
      <c r="K105" s="9">
        <v>0</v>
      </c>
      <c r="L105" s="29">
        <v>0</v>
      </c>
      <c r="M105" s="10">
        <v>0</v>
      </c>
      <c r="N105" s="94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269">
        <v>0</v>
      </c>
      <c r="U105" s="269">
        <v>0</v>
      </c>
      <c r="V105" s="269">
        <v>0</v>
      </c>
    </row>
    <row r="106" spans="1:22" x14ac:dyDescent="0.25">
      <c r="A106" s="103">
        <v>103</v>
      </c>
      <c r="B106" s="102"/>
      <c r="C106" s="3"/>
      <c r="D106" s="3"/>
      <c r="E106" s="20" t="s">
        <v>33</v>
      </c>
      <c r="F106" s="19">
        <v>0</v>
      </c>
      <c r="G106" s="3">
        <v>0</v>
      </c>
      <c r="H106" s="9">
        <v>0</v>
      </c>
      <c r="I106" s="9">
        <v>0</v>
      </c>
      <c r="J106" s="9">
        <f t="shared" si="47"/>
        <v>0</v>
      </c>
      <c r="K106" s="9">
        <v>0</v>
      </c>
      <c r="L106" s="29">
        <v>0</v>
      </c>
      <c r="M106" s="10">
        <v>0</v>
      </c>
      <c r="N106" s="94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269">
        <v>0</v>
      </c>
      <c r="U106" s="269">
        <v>0</v>
      </c>
      <c r="V106" s="269">
        <v>0</v>
      </c>
    </row>
    <row r="107" spans="1:22" x14ac:dyDescent="0.25">
      <c r="A107" s="24">
        <v>104</v>
      </c>
      <c r="B107" s="102"/>
      <c r="C107" s="3"/>
      <c r="D107" s="3"/>
      <c r="E107" s="20" t="s">
        <v>34</v>
      </c>
      <c r="F107" s="19">
        <v>0</v>
      </c>
      <c r="G107" s="3">
        <v>0</v>
      </c>
      <c r="H107" s="9">
        <v>0</v>
      </c>
      <c r="I107" s="9">
        <v>0</v>
      </c>
      <c r="J107" s="9">
        <f t="shared" si="47"/>
        <v>0</v>
      </c>
      <c r="K107" s="9">
        <v>0</v>
      </c>
      <c r="L107" s="29">
        <v>0</v>
      </c>
      <c r="M107" s="10">
        <v>0</v>
      </c>
      <c r="N107" s="94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269">
        <v>0</v>
      </c>
      <c r="U107" s="269">
        <v>0</v>
      </c>
      <c r="V107" s="269">
        <v>0</v>
      </c>
    </row>
    <row r="108" spans="1:22" x14ac:dyDescent="0.25">
      <c r="A108" s="103">
        <v>105</v>
      </c>
      <c r="B108" s="102"/>
      <c r="C108" s="3"/>
      <c r="D108" s="3"/>
      <c r="E108" s="20" t="s">
        <v>35</v>
      </c>
      <c r="F108" s="19">
        <v>0</v>
      </c>
      <c r="G108" s="3">
        <v>0</v>
      </c>
      <c r="H108" s="9">
        <v>0</v>
      </c>
      <c r="I108" s="9">
        <v>0</v>
      </c>
      <c r="J108" s="9">
        <f t="shared" si="47"/>
        <v>0</v>
      </c>
      <c r="K108" s="9">
        <v>0</v>
      </c>
      <c r="L108" s="29">
        <v>0</v>
      </c>
      <c r="M108" s="10">
        <v>0</v>
      </c>
      <c r="N108" s="94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269">
        <v>0</v>
      </c>
      <c r="U108" s="269">
        <v>0</v>
      </c>
      <c r="V108" s="269">
        <v>0</v>
      </c>
    </row>
    <row r="109" spans="1:22" x14ac:dyDescent="0.25">
      <c r="A109" s="103">
        <v>106</v>
      </c>
      <c r="B109" s="102"/>
      <c r="C109" s="3"/>
      <c r="D109" s="3" t="s">
        <v>47</v>
      </c>
      <c r="E109" s="21"/>
      <c r="F109" s="9">
        <v>0</v>
      </c>
      <c r="G109" s="3">
        <v>0</v>
      </c>
      <c r="H109" s="9">
        <v>0</v>
      </c>
      <c r="I109" s="9">
        <v>0</v>
      </c>
      <c r="J109" s="9">
        <f t="shared" si="47"/>
        <v>0</v>
      </c>
      <c r="K109" s="9">
        <v>0</v>
      </c>
      <c r="L109" s="29">
        <v>0</v>
      </c>
      <c r="M109" s="10">
        <v>0</v>
      </c>
      <c r="N109" s="94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269">
        <v>0</v>
      </c>
      <c r="U109" s="269">
        <v>0</v>
      </c>
      <c r="V109" s="269">
        <v>0</v>
      </c>
    </row>
    <row r="110" spans="1:22" x14ac:dyDescent="0.25">
      <c r="A110" s="24">
        <v>107</v>
      </c>
      <c r="B110" s="102"/>
      <c r="C110" s="3"/>
      <c r="D110" s="3" t="s">
        <v>37</v>
      </c>
      <c r="E110" s="21"/>
      <c r="F110" s="9">
        <v>2188</v>
      </c>
      <c r="G110" s="9">
        <v>36559</v>
      </c>
      <c r="H110" s="9">
        <v>0</v>
      </c>
      <c r="I110" s="9">
        <v>1568</v>
      </c>
      <c r="J110" s="9">
        <f t="shared" si="47"/>
        <v>1568</v>
      </c>
      <c r="K110" s="9">
        <v>4196</v>
      </c>
      <c r="L110" s="29">
        <f>J110+K110</f>
        <v>5764</v>
      </c>
      <c r="M110" s="10">
        <v>4577</v>
      </c>
      <c r="N110" s="27">
        <f>L110+M110</f>
        <v>10341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269">
        <v>0</v>
      </c>
      <c r="U110" s="269">
        <v>4172</v>
      </c>
      <c r="V110" s="269">
        <f>T110+U110</f>
        <v>4172</v>
      </c>
    </row>
    <row r="111" spans="1:22" x14ac:dyDescent="0.25">
      <c r="A111" s="103">
        <v>108</v>
      </c>
      <c r="B111" s="102"/>
      <c r="C111" s="3" t="s">
        <v>38</v>
      </c>
      <c r="D111" s="3"/>
      <c r="E111" s="21"/>
      <c r="F111" s="9">
        <v>2350</v>
      </c>
      <c r="G111" s="9">
        <v>7357</v>
      </c>
      <c r="H111" s="9">
        <v>2100</v>
      </c>
      <c r="I111" s="9">
        <v>5019</v>
      </c>
      <c r="J111" s="9">
        <f t="shared" si="47"/>
        <v>7119</v>
      </c>
      <c r="K111" s="9">
        <v>0</v>
      </c>
      <c r="L111" s="29">
        <v>7119</v>
      </c>
      <c r="M111" s="10">
        <v>0</v>
      </c>
      <c r="N111" s="27">
        <v>7119</v>
      </c>
      <c r="O111" s="9">
        <v>2100</v>
      </c>
      <c r="P111" s="9">
        <v>2100</v>
      </c>
      <c r="Q111" s="9">
        <v>2100</v>
      </c>
      <c r="R111" s="9">
        <v>2500</v>
      </c>
      <c r="S111" s="9">
        <v>2705</v>
      </c>
      <c r="T111" s="269">
        <v>4200</v>
      </c>
      <c r="U111" s="269">
        <v>0</v>
      </c>
      <c r="V111" s="269">
        <f>SUM(T111:U111)</f>
        <v>4200</v>
      </c>
    </row>
    <row r="112" spans="1:22" x14ac:dyDescent="0.25">
      <c r="A112" s="103">
        <v>109</v>
      </c>
      <c r="B112" s="102"/>
      <c r="C112" s="3" t="s">
        <v>39</v>
      </c>
      <c r="D112" s="3"/>
      <c r="E112" s="21"/>
      <c r="F112" s="9">
        <v>0</v>
      </c>
      <c r="G112" s="9">
        <v>0</v>
      </c>
      <c r="H112" s="9">
        <v>0</v>
      </c>
      <c r="I112" s="9">
        <v>0</v>
      </c>
      <c r="J112" s="9">
        <f t="shared" si="47"/>
        <v>0</v>
      </c>
      <c r="K112" s="9">
        <v>0</v>
      </c>
      <c r="L112" s="29">
        <v>0</v>
      </c>
      <c r="M112" s="10">
        <v>0</v>
      </c>
      <c r="N112" s="27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269">
        <v>0</v>
      </c>
      <c r="U112" s="269">
        <v>0</v>
      </c>
      <c r="V112" s="269">
        <v>0</v>
      </c>
    </row>
    <row r="113" spans="1:22" x14ac:dyDescent="0.25">
      <c r="A113" s="24">
        <v>110</v>
      </c>
      <c r="B113" s="102"/>
      <c r="C113" s="3" t="s">
        <v>304</v>
      </c>
      <c r="D113" s="3"/>
      <c r="E113" s="21"/>
      <c r="F113" s="9"/>
      <c r="G113" s="3"/>
      <c r="H113" s="9"/>
      <c r="I113" s="9"/>
      <c r="J113" s="9"/>
      <c r="K113" s="9"/>
      <c r="L113" s="29"/>
      <c r="M113" s="50"/>
      <c r="N113" s="94"/>
      <c r="O113" s="9">
        <f t="shared" ref="O113:T113" si="48">SUM(O114:O117)</f>
        <v>0</v>
      </c>
      <c r="P113" s="123">
        <f t="shared" si="48"/>
        <v>0</v>
      </c>
      <c r="Q113" s="123">
        <f t="shared" si="48"/>
        <v>0</v>
      </c>
      <c r="R113" s="123">
        <f t="shared" si="48"/>
        <v>0</v>
      </c>
      <c r="S113" s="123">
        <f t="shared" si="48"/>
        <v>0</v>
      </c>
      <c r="T113" s="270">
        <f t="shared" si="48"/>
        <v>0</v>
      </c>
      <c r="U113" s="270">
        <f>SUM(U114:U117)</f>
        <v>0</v>
      </c>
      <c r="V113" s="270">
        <f>SUM(V114:V117)</f>
        <v>0</v>
      </c>
    </row>
    <row r="114" spans="1:22" x14ac:dyDescent="0.25">
      <c r="A114" s="103">
        <v>111</v>
      </c>
      <c r="B114" s="102"/>
      <c r="C114" s="3"/>
      <c r="D114" s="3" t="s">
        <v>306</v>
      </c>
      <c r="E114" s="21"/>
      <c r="F114" s="9"/>
      <c r="G114" s="3"/>
      <c r="H114" s="9"/>
      <c r="I114" s="9"/>
      <c r="J114" s="9"/>
      <c r="K114" s="9"/>
      <c r="L114" s="29"/>
      <c r="M114" s="50"/>
      <c r="N114" s="94"/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269">
        <v>0</v>
      </c>
      <c r="U114" s="269">
        <v>0</v>
      </c>
      <c r="V114" s="269">
        <v>0</v>
      </c>
    </row>
    <row r="115" spans="1:22" x14ac:dyDescent="0.25">
      <c r="A115" s="103">
        <v>112</v>
      </c>
      <c r="B115" s="102"/>
      <c r="C115" s="3"/>
      <c r="D115" s="3" t="s">
        <v>305</v>
      </c>
      <c r="E115" s="21"/>
      <c r="F115" s="9"/>
      <c r="G115" s="3"/>
      <c r="H115" s="9"/>
      <c r="I115" s="9"/>
      <c r="J115" s="9"/>
      <c r="K115" s="9"/>
      <c r="L115" s="29"/>
      <c r="M115" s="50"/>
      <c r="N115" s="94"/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269">
        <v>0</v>
      </c>
      <c r="U115" s="269">
        <v>0</v>
      </c>
      <c r="V115" s="269">
        <v>0</v>
      </c>
    </row>
    <row r="116" spans="1:22" x14ac:dyDescent="0.25">
      <c r="A116" s="24">
        <v>113</v>
      </c>
      <c r="B116" s="102"/>
      <c r="C116" s="3"/>
      <c r="D116" s="3" t="s">
        <v>307</v>
      </c>
      <c r="E116" s="21"/>
      <c r="F116" s="9"/>
      <c r="G116" s="3"/>
      <c r="H116" s="9"/>
      <c r="I116" s="9"/>
      <c r="J116" s="9"/>
      <c r="K116" s="9"/>
      <c r="L116" s="29"/>
      <c r="M116" s="50"/>
      <c r="N116" s="94"/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269">
        <v>0</v>
      </c>
      <c r="U116" s="269">
        <v>0</v>
      </c>
      <c r="V116" s="269">
        <v>0</v>
      </c>
    </row>
    <row r="117" spans="1:22" x14ac:dyDescent="0.25">
      <c r="A117" s="103">
        <v>114</v>
      </c>
      <c r="B117" s="102"/>
      <c r="C117" s="3"/>
      <c r="D117" s="3" t="s">
        <v>308</v>
      </c>
      <c r="E117" s="21"/>
      <c r="F117" s="9"/>
      <c r="G117" s="3"/>
      <c r="H117" s="9"/>
      <c r="I117" s="9"/>
      <c r="J117" s="9"/>
      <c r="K117" s="9"/>
      <c r="L117" s="29"/>
      <c r="M117" s="50"/>
      <c r="N117" s="94"/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269">
        <v>0</v>
      </c>
      <c r="U117" s="269">
        <v>0</v>
      </c>
      <c r="V117" s="269">
        <v>0</v>
      </c>
    </row>
    <row r="118" spans="1:22" x14ac:dyDescent="0.25">
      <c r="A118" s="103">
        <v>115</v>
      </c>
      <c r="B118" s="101" t="s">
        <v>40</v>
      </c>
      <c r="C118" s="16"/>
      <c r="D118" s="16"/>
      <c r="E118" s="17"/>
      <c r="F118" s="11">
        <f>SUM(F119:F122)</f>
        <v>0</v>
      </c>
      <c r="G118" s="11">
        <v>2950</v>
      </c>
      <c r="H118" s="11">
        <v>0</v>
      </c>
      <c r="I118" s="11">
        <v>0</v>
      </c>
      <c r="J118" s="11">
        <f t="shared" si="47"/>
        <v>0</v>
      </c>
      <c r="K118" s="11">
        <v>0</v>
      </c>
      <c r="L118" s="31">
        <v>0</v>
      </c>
      <c r="M118" s="10">
        <v>0</v>
      </c>
      <c r="N118" s="95">
        <v>0</v>
      </c>
      <c r="O118" s="11">
        <v>0</v>
      </c>
      <c r="P118" s="111">
        <f>SUM(P119:P122)</f>
        <v>0</v>
      </c>
      <c r="Q118" s="111">
        <f>SUM(Q119:Q122)</f>
        <v>0</v>
      </c>
      <c r="R118" s="111">
        <f>SUM(R119:R122)</f>
        <v>0</v>
      </c>
      <c r="S118" s="111">
        <f>SUM(S119:S122)</f>
        <v>0</v>
      </c>
      <c r="T118" s="112">
        <f>SUM(T119:T122)</f>
        <v>0</v>
      </c>
      <c r="U118" s="112">
        <v>0</v>
      </c>
      <c r="V118" s="112">
        <v>0</v>
      </c>
    </row>
    <row r="119" spans="1:22" x14ac:dyDescent="0.25">
      <c r="A119" s="24">
        <v>116</v>
      </c>
      <c r="B119" s="102"/>
      <c r="C119" s="3" t="s">
        <v>41</v>
      </c>
      <c r="D119" s="3"/>
      <c r="E119" s="7"/>
      <c r="F119" s="9">
        <v>0</v>
      </c>
      <c r="G119" s="9">
        <v>0</v>
      </c>
      <c r="H119" s="9">
        <v>0</v>
      </c>
      <c r="I119" s="9">
        <v>0</v>
      </c>
      <c r="J119" s="9">
        <f t="shared" si="47"/>
        <v>0</v>
      </c>
      <c r="K119" s="9">
        <v>0</v>
      </c>
      <c r="L119" s="29">
        <v>0</v>
      </c>
      <c r="M119" s="10">
        <v>0</v>
      </c>
      <c r="N119" s="94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269">
        <v>0</v>
      </c>
      <c r="U119" s="269">
        <v>0</v>
      </c>
      <c r="V119" s="269">
        <v>0</v>
      </c>
    </row>
    <row r="120" spans="1:22" x14ac:dyDescent="0.25">
      <c r="A120" s="103">
        <v>117</v>
      </c>
      <c r="B120" s="102"/>
      <c r="C120" s="3" t="s">
        <v>42</v>
      </c>
      <c r="D120" s="3"/>
      <c r="E120" s="7"/>
      <c r="F120" s="9">
        <v>0</v>
      </c>
      <c r="G120" s="9">
        <v>2950</v>
      </c>
      <c r="H120" s="9">
        <v>0</v>
      </c>
      <c r="I120" s="9">
        <v>0</v>
      </c>
      <c r="J120" s="9">
        <f t="shared" si="47"/>
        <v>0</v>
      </c>
      <c r="K120" s="9">
        <v>0</v>
      </c>
      <c r="L120" s="29">
        <v>0</v>
      </c>
      <c r="M120" s="10">
        <v>0</v>
      </c>
      <c r="N120" s="94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269">
        <v>0</v>
      </c>
      <c r="U120" s="269">
        <v>0</v>
      </c>
      <c r="V120" s="269">
        <v>0</v>
      </c>
    </row>
    <row r="121" spans="1:22" x14ac:dyDescent="0.25">
      <c r="A121" s="103">
        <v>118</v>
      </c>
      <c r="B121" s="102"/>
      <c r="C121" s="3" t="s">
        <v>44</v>
      </c>
      <c r="D121" s="3"/>
      <c r="E121" s="7"/>
      <c r="F121" s="9">
        <v>0</v>
      </c>
      <c r="G121" s="9">
        <v>0</v>
      </c>
      <c r="H121" s="9">
        <v>0</v>
      </c>
      <c r="I121" s="9">
        <v>0</v>
      </c>
      <c r="J121" s="9">
        <f t="shared" si="47"/>
        <v>0</v>
      </c>
      <c r="K121" s="9">
        <v>0</v>
      </c>
      <c r="L121" s="29">
        <v>0</v>
      </c>
      <c r="M121" s="10">
        <v>0</v>
      </c>
      <c r="N121" s="94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269">
        <v>0</v>
      </c>
      <c r="U121" s="269">
        <v>0</v>
      </c>
      <c r="V121" s="269">
        <v>0</v>
      </c>
    </row>
    <row r="122" spans="1:22" x14ac:dyDescent="0.25">
      <c r="A122" s="24">
        <v>119</v>
      </c>
      <c r="B122" s="102"/>
      <c r="C122" s="3" t="s">
        <v>43</v>
      </c>
      <c r="D122" s="3"/>
      <c r="E122" s="7"/>
      <c r="F122" s="9">
        <v>0</v>
      </c>
      <c r="G122" s="9">
        <v>0</v>
      </c>
      <c r="H122" s="9">
        <v>0</v>
      </c>
      <c r="I122" s="9">
        <v>0</v>
      </c>
      <c r="J122" s="9">
        <f t="shared" si="47"/>
        <v>0</v>
      </c>
      <c r="K122" s="9">
        <v>0</v>
      </c>
      <c r="L122" s="29">
        <v>0</v>
      </c>
      <c r="M122" s="10">
        <v>0</v>
      </c>
      <c r="N122" s="94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269">
        <v>0</v>
      </c>
      <c r="U122" s="269">
        <v>0</v>
      </c>
      <c r="V122" s="269">
        <v>0</v>
      </c>
    </row>
    <row r="123" spans="1:22" x14ac:dyDescent="0.25">
      <c r="A123" s="103">
        <v>120</v>
      </c>
      <c r="B123" s="101" t="s">
        <v>45</v>
      </c>
      <c r="C123" s="16"/>
      <c r="D123" s="16"/>
      <c r="E123" s="17"/>
      <c r="F123" s="11">
        <f>+F124+F125</f>
        <v>73697</v>
      </c>
      <c r="G123" s="11">
        <f>+G124+G125</f>
        <v>74986</v>
      </c>
      <c r="H123" s="11">
        <v>84728</v>
      </c>
      <c r="I123" s="11">
        <f>I124+I125</f>
        <v>19541</v>
      </c>
      <c r="J123" s="11">
        <f t="shared" si="47"/>
        <v>104269</v>
      </c>
      <c r="K123" s="11">
        <f>K124+K125</f>
        <v>2478</v>
      </c>
      <c r="L123" s="31">
        <f>L124+L125</f>
        <v>106747</v>
      </c>
      <c r="M123" s="88">
        <f t="shared" ref="M123" si="49">M124+M125</f>
        <v>12604</v>
      </c>
      <c r="N123" s="88">
        <f>L123+M123</f>
        <v>119351</v>
      </c>
      <c r="O123" s="11">
        <f>O124+O125</f>
        <v>95000</v>
      </c>
      <c r="P123" s="111">
        <f>SUM(P124:P125)</f>
        <v>79460</v>
      </c>
      <c r="Q123" s="111">
        <f>SUM(Q124:Q125)</f>
        <v>95507</v>
      </c>
      <c r="R123" s="111">
        <f>SUM(R124:R125)</f>
        <v>120050</v>
      </c>
      <c r="S123" s="111">
        <f>SUM(S124:S125)</f>
        <v>145212</v>
      </c>
      <c r="T123" s="112">
        <f>SUM(T124:T125)</f>
        <v>133397</v>
      </c>
      <c r="U123" s="112">
        <f t="shared" ref="U123" si="50">U124+U125</f>
        <v>4698</v>
      </c>
      <c r="V123" s="112">
        <f>T123+U123</f>
        <v>138095</v>
      </c>
    </row>
    <row r="124" spans="1:22" x14ac:dyDescent="0.25">
      <c r="A124" s="103">
        <v>121</v>
      </c>
      <c r="B124" s="102"/>
      <c r="C124" s="3" t="s">
        <v>46</v>
      </c>
      <c r="D124" s="3"/>
      <c r="E124" s="7"/>
      <c r="F124" s="9">
        <v>0</v>
      </c>
      <c r="G124" s="9">
        <v>717</v>
      </c>
      <c r="H124" s="9">
        <v>0</v>
      </c>
      <c r="I124" s="9">
        <v>16225</v>
      </c>
      <c r="J124" s="9">
        <f t="shared" si="47"/>
        <v>16225</v>
      </c>
      <c r="K124" s="9">
        <v>0</v>
      </c>
      <c r="L124" s="29">
        <v>16225</v>
      </c>
      <c r="M124" s="10">
        <v>0</v>
      </c>
      <c r="N124" s="27">
        <v>16225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269">
        <v>0</v>
      </c>
      <c r="U124" s="269">
        <v>4698</v>
      </c>
      <c r="V124" s="269">
        <f>SUM(T124:U124)</f>
        <v>4698</v>
      </c>
    </row>
    <row r="125" spans="1:22" x14ac:dyDescent="0.25">
      <c r="A125" s="24">
        <v>122</v>
      </c>
      <c r="B125" s="102"/>
      <c r="C125" s="3" t="s">
        <v>50</v>
      </c>
      <c r="D125" s="3"/>
      <c r="E125" s="7"/>
      <c r="F125" s="9">
        <v>73697</v>
      </c>
      <c r="G125" s="9">
        <v>74269</v>
      </c>
      <c r="H125" s="9">
        <v>84728</v>
      </c>
      <c r="I125" s="9">
        <v>3316</v>
      </c>
      <c r="J125" s="9">
        <f t="shared" si="47"/>
        <v>88044</v>
      </c>
      <c r="K125" s="9">
        <f>2478</f>
        <v>2478</v>
      </c>
      <c r="L125" s="29">
        <f>K125+J125</f>
        <v>90522</v>
      </c>
      <c r="M125" s="10">
        <v>12604</v>
      </c>
      <c r="N125" s="27">
        <f>L125+M125</f>
        <v>103126</v>
      </c>
      <c r="O125" s="9">
        <v>95000</v>
      </c>
      <c r="P125" s="9">
        <v>79460</v>
      </c>
      <c r="Q125" s="9">
        <v>95507</v>
      </c>
      <c r="R125" s="9">
        <v>120050</v>
      </c>
      <c r="S125" s="9">
        <v>145212</v>
      </c>
      <c r="T125" s="269">
        <v>133397</v>
      </c>
      <c r="U125" s="269">
        <v>0</v>
      </c>
      <c r="V125" s="269">
        <f>SUM(T125:U125)</f>
        <v>133397</v>
      </c>
    </row>
    <row r="126" spans="1:22" ht="14.25" customHeight="1" x14ac:dyDescent="0.25">
      <c r="A126" s="103">
        <v>123</v>
      </c>
      <c r="B126" s="101" t="s">
        <v>19</v>
      </c>
      <c r="C126" s="16"/>
      <c r="D126" s="16"/>
      <c r="E126" s="17"/>
      <c r="F126" s="11">
        <f>+F123+F118+F100</f>
        <v>78235</v>
      </c>
      <c r="G126" s="11">
        <f>+G123+G118+G100</f>
        <v>121852</v>
      </c>
      <c r="H126" s="11">
        <f t="shared" ref="H126:N126" si="51">H123+H100</f>
        <v>86828</v>
      </c>
      <c r="I126" s="11">
        <f t="shared" si="51"/>
        <v>26128</v>
      </c>
      <c r="J126" s="11">
        <f t="shared" si="51"/>
        <v>112956</v>
      </c>
      <c r="K126" s="11">
        <f t="shared" si="51"/>
        <v>6674</v>
      </c>
      <c r="L126" s="31">
        <f t="shared" si="51"/>
        <v>119630</v>
      </c>
      <c r="M126" s="8">
        <f t="shared" si="51"/>
        <v>17181</v>
      </c>
      <c r="N126" s="88">
        <f t="shared" si="51"/>
        <v>136811</v>
      </c>
      <c r="O126" s="11">
        <f>O100+O123+O118</f>
        <v>97100</v>
      </c>
      <c r="P126" s="111">
        <f>SUM(P123,P118,P100)</f>
        <v>81560</v>
      </c>
      <c r="Q126" s="111">
        <f>SUM(Q123,Q118,Q100)</f>
        <v>97607</v>
      </c>
      <c r="R126" s="111">
        <f>SUM(R123,R118,R100)</f>
        <v>122550</v>
      </c>
      <c r="S126" s="111">
        <f>SUM(S123,S118,S100)</f>
        <v>147917</v>
      </c>
      <c r="T126" s="112">
        <f>SUM(T123,T118,T100)</f>
        <v>137597</v>
      </c>
      <c r="U126" s="112">
        <f>U123+U100</f>
        <v>8870</v>
      </c>
      <c r="V126" s="112">
        <f t="shared" ref="V126" si="52">V123+V100</f>
        <v>146467</v>
      </c>
    </row>
    <row r="127" spans="1:22" ht="78" customHeight="1" x14ac:dyDescent="0.25">
      <c r="A127" s="103">
        <v>124</v>
      </c>
      <c r="B127" s="101" t="s">
        <v>100</v>
      </c>
      <c r="C127" s="3"/>
      <c r="D127" s="3"/>
      <c r="E127" s="7"/>
      <c r="F127" s="15" t="s">
        <v>107</v>
      </c>
      <c r="G127" s="6" t="s">
        <v>113</v>
      </c>
      <c r="H127" s="6" t="s">
        <v>112</v>
      </c>
      <c r="I127" s="24" t="s">
        <v>111</v>
      </c>
      <c r="J127" s="6" t="s">
        <v>115</v>
      </c>
      <c r="K127" s="24" t="s">
        <v>111</v>
      </c>
      <c r="L127" s="79" t="s">
        <v>257</v>
      </c>
      <c r="M127" s="89" t="s">
        <v>111</v>
      </c>
      <c r="N127" s="79" t="s">
        <v>262</v>
      </c>
      <c r="O127" s="6" t="str">
        <f>$O$4</f>
        <v>Előirányzat
4/2020. (III.05.) önkormányzati rendelet</v>
      </c>
      <c r="P127" s="6" t="s">
        <v>311</v>
      </c>
      <c r="Q127" s="6" t="str">
        <f>Q$4</f>
        <v>Előirányzat
3/2022. (II.10.) önkormányzati rendelet</v>
      </c>
      <c r="R127" s="6" t="str">
        <f>R$4</f>
        <v>Előirányzat
1./2023. (II.23.) önkormányzati rendelet</v>
      </c>
      <c r="S127" s="6" t="str">
        <f>S$4</f>
        <v>Előirányzat
1./2024. (II)22. önkormányzati rendelet</v>
      </c>
      <c r="T127" s="266" t="str">
        <f>T$4</f>
        <v>Előirányzat
2/2025. (II.20.) önkormányzati rendelet</v>
      </c>
      <c r="U127" s="266" t="s">
        <v>111</v>
      </c>
      <c r="V127" s="266" t="str">
        <f>V4</f>
        <v>Módosított előirányzat</v>
      </c>
    </row>
    <row r="128" spans="1:22" x14ac:dyDescent="0.25">
      <c r="A128" s="24">
        <v>125</v>
      </c>
      <c r="B128" s="101" t="s">
        <v>25</v>
      </c>
      <c r="C128" s="3"/>
      <c r="D128" s="3"/>
      <c r="E128" s="7"/>
      <c r="F128" s="9"/>
      <c r="G128" s="3"/>
      <c r="H128" s="9"/>
      <c r="I128" s="3"/>
      <c r="J128" s="3"/>
      <c r="K128" s="3"/>
      <c r="L128" s="26"/>
      <c r="M128" s="50"/>
      <c r="N128" s="94"/>
      <c r="O128" s="9"/>
      <c r="P128" s="9"/>
      <c r="Q128" s="9"/>
      <c r="R128" s="9"/>
      <c r="S128" s="9"/>
      <c r="T128" s="269"/>
      <c r="U128" s="269"/>
      <c r="V128" s="269"/>
    </row>
    <row r="129" spans="1:22" x14ac:dyDescent="0.25">
      <c r="A129" s="103">
        <v>126</v>
      </c>
      <c r="B129" s="101"/>
      <c r="C129" s="3" t="s">
        <v>26</v>
      </c>
      <c r="D129" s="3"/>
      <c r="E129" s="7"/>
      <c r="F129" s="9"/>
      <c r="G129" s="3"/>
      <c r="H129" s="9"/>
      <c r="I129" s="3"/>
      <c r="J129" s="3"/>
      <c r="K129" s="3"/>
      <c r="L129" s="26"/>
      <c r="M129" s="50"/>
      <c r="N129" s="94"/>
      <c r="O129" s="9"/>
      <c r="P129" s="9"/>
      <c r="Q129" s="9"/>
      <c r="R129" s="9"/>
      <c r="S129" s="9"/>
      <c r="T129" s="269"/>
      <c r="U129" s="269"/>
      <c r="V129" s="269"/>
    </row>
    <row r="130" spans="1:22" x14ac:dyDescent="0.25">
      <c r="A130" s="103">
        <v>127</v>
      </c>
      <c r="B130" s="101" t="s">
        <v>28</v>
      </c>
      <c r="C130" s="16"/>
      <c r="D130" s="16"/>
      <c r="E130" s="17"/>
      <c r="F130" s="11">
        <f>+F131+F141+F142</f>
        <v>110135</v>
      </c>
      <c r="G130" s="11">
        <f>+G131+G141+G142</f>
        <v>121144</v>
      </c>
      <c r="H130" s="11">
        <f>H131+H141+H142</f>
        <v>115951</v>
      </c>
      <c r="I130" s="11">
        <v>712</v>
      </c>
      <c r="J130" s="11">
        <f>I130+H130</f>
        <v>116663</v>
      </c>
      <c r="K130" s="11">
        <v>951</v>
      </c>
      <c r="L130" s="31">
        <f>K130+J130</f>
        <v>117614</v>
      </c>
      <c r="M130" s="90">
        <v>0</v>
      </c>
      <c r="N130" s="88">
        <v>117614</v>
      </c>
      <c r="O130" s="11">
        <f t="shared" ref="O130:U130" si="53">SUM(O131,O141,O142,O143)</f>
        <v>56813</v>
      </c>
      <c r="P130" s="111">
        <f t="shared" si="53"/>
        <v>171563</v>
      </c>
      <c r="Q130" s="111">
        <f t="shared" si="53"/>
        <v>187784</v>
      </c>
      <c r="R130" s="111">
        <f t="shared" si="53"/>
        <v>129189</v>
      </c>
      <c r="S130" s="111">
        <f t="shared" si="53"/>
        <v>159614</v>
      </c>
      <c r="T130" s="112">
        <f t="shared" si="53"/>
        <v>161922</v>
      </c>
      <c r="U130" s="112">
        <f t="shared" si="53"/>
        <v>6765</v>
      </c>
      <c r="V130" s="112">
        <f>SUM(T130:U130)</f>
        <v>168687</v>
      </c>
    </row>
    <row r="131" spans="1:22" x14ac:dyDescent="0.25">
      <c r="A131" s="24">
        <v>128</v>
      </c>
      <c r="B131" s="102"/>
      <c r="C131" s="3" t="s">
        <v>29</v>
      </c>
      <c r="D131" s="3"/>
      <c r="E131" s="7"/>
      <c r="F131" s="9">
        <v>55242</v>
      </c>
      <c r="G131" s="9">
        <v>63639</v>
      </c>
      <c r="H131" s="9">
        <v>59517</v>
      </c>
      <c r="I131" s="9">
        <v>712</v>
      </c>
      <c r="J131" s="9">
        <f>I131+H131</f>
        <v>60229</v>
      </c>
      <c r="K131" s="9">
        <v>951</v>
      </c>
      <c r="L131" s="29">
        <f>K131+J131</f>
        <v>61180</v>
      </c>
      <c r="M131" s="50">
        <v>0</v>
      </c>
      <c r="N131" s="27">
        <v>61180</v>
      </c>
      <c r="O131" s="9">
        <v>0</v>
      </c>
      <c r="P131" s="123">
        <f t="shared" ref="P131:U131" si="54">SUM(P132,P139:P140)</f>
        <v>97351</v>
      </c>
      <c r="Q131" s="123">
        <f t="shared" si="54"/>
        <v>113572</v>
      </c>
      <c r="R131" s="123">
        <f t="shared" si="54"/>
        <v>56998</v>
      </c>
      <c r="S131" s="123">
        <f t="shared" si="54"/>
        <v>65196</v>
      </c>
      <c r="T131" s="270">
        <f t="shared" si="54"/>
        <v>66885</v>
      </c>
      <c r="U131" s="270">
        <f t="shared" si="54"/>
        <v>6765</v>
      </c>
      <c r="V131" s="270">
        <f>SUM(T131:U131)</f>
        <v>73650</v>
      </c>
    </row>
    <row r="132" spans="1:22" x14ac:dyDescent="0.25">
      <c r="A132" s="103">
        <v>129</v>
      </c>
      <c r="B132" s="102"/>
      <c r="C132" s="3"/>
      <c r="D132" s="3" t="s">
        <v>36</v>
      </c>
      <c r="E132" s="7"/>
      <c r="F132" s="9">
        <f>SUM(F133:F138)</f>
        <v>0</v>
      </c>
      <c r="G132" s="3">
        <v>0</v>
      </c>
      <c r="H132" s="9">
        <v>0</v>
      </c>
      <c r="I132" s="9">
        <v>0</v>
      </c>
      <c r="J132" s="9">
        <f>H132+I132</f>
        <v>0</v>
      </c>
      <c r="K132" s="9">
        <v>0</v>
      </c>
      <c r="L132" s="29">
        <v>0</v>
      </c>
      <c r="M132" s="50">
        <v>0</v>
      </c>
      <c r="N132" s="94">
        <v>0</v>
      </c>
      <c r="O132" s="9">
        <v>0</v>
      </c>
      <c r="P132" s="98">
        <f t="shared" ref="P132:V132" si="55">SUM(P133:P138)</f>
        <v>0</v>
      </c>
      <c r="Q132" s="98">
        <f t="shared" si="55"/>
        <v>0</v>
      </c>
      <c r="R132" s="98">
        <f t="shared" si="55"/>
        <v>0</v>
      </c>
      <c r="S132" s="98">
        <f t="shared" si="55"/>
        <v>0</v>
      </c>
      <c r="T132" s="275">
        <f t="shared" si="55"/>
        <v>0</v>
      </c>
      <c r="U132" s="275">
        <f t="shared" si="55"/>
        <v>0</v>
      </c>
      <c r="V132" s="275">
        <f t="shared" si="55"/>
        <v>0</v>
      </c>
    </row>
    <row r="133" spans="1:22" x14ac:dyDescent="0.25">
      <c r="A133" s="103">
        <v>130</v>
      </c>
      <c r="B133" s="102"/>
      <c r="C133" s="3"/>
      <c r="D133" s="3"/>
      <c r="E133" s="18" t="s">
        <v>30</v>
      </c>
      <c r="F133" s="9">
        <v>0</v>
      </c>
      <c r="G133" s="3">
        <v>0</v>
      </c>
      <c r="H133" s="9">
        <v>0</v>
      </c>
      <c r="I133" s="9">
        <v>0</v>
      </c>
      <c r="J133" s="9">
        <f t="shared" ref="J133:J156" si="56">H133+I133</f>
        <v>0</v>
      </c>
      <c r="K133" s="9">
        <v>0</v>
      </c>
      <c r="L133" s="29">
        <v>0</v>
      </c>
      <c r="M133" s="50">
        <v>0</v>
      </c>
      <c r="N133" s="94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269">
        <v>0</v>
      </c>
      <c r="U133" s="269">
        <v>0</v>
      </c>
      <c r="V133" s="269">
        <f>SUM(T133:U133)</f>
        <v>0</v>
      </c>
    </row>
    <row r="134" spans="1:22" x14ac:dyDescent="0.25">
      <c r="A134" s="24">
        <v>131</v>
      </c>
      <c r="B134" s="102"/>
      <c r="C134" s="3"/>
      <c r="D134" s="3"/>
      <c r="E134" s="18" t="s">
        <v>31</v>
      </c>
      <c r="F134" s="9">
        <v>0</v>
      </c>
      <c r="G134" s="3">
        <v>0</v>
      </c>
      <c r="H134" s="9">
        <v>0</v>
      </c>
      <c r="I134" s="9">
        <v>0</v>
      </c>
      <c r="J134" s="9">
        <f t="shared" si="56"/>
        <v>0</v>
      </c>
      <c r="K134" s="9">
        <v>0</v>
      </c>
      <c r="L134" s="29">
        <v>0</v>
      </c>
      <c r="M134" s="50">
        <v>0</v>
      </c>
      <c r="N134" s="94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269">
        <v>0</v>
      </c>
      <c r="U134" s="269">
        <v>0</v>
      </c>
      <c r="V134" s="269">
        <f t="shared" ref="V134:V155" si="57">SUM(T134:U134)</f>
        <v>0</v>
      </c>
    </row>
    <row r="135" spans="1:22" ht="30" x14ac:dyDescent="0.25">
      <c r="A135" s="103">
        <v>132</v>
      </c>
      <c r="B135" s="102"/>
      <c r="C135" s="3"/>
      <c r="D135" s="3"/>
      <c r="E135" s="20" t="s">
        <v>32</v>
      </c>
      <c r="F135" s="9">
        <v>0</v>
      </c>
      <c r="G135" s="3">
        <v>0</v>
      </c>
      <c r="H135" s="9">
        <v>0</v>
      </c>
      <c r="I135" s="9">
        <v>0</v>
      </c>
      <c r="J135" s="9">
        <f t="shared" si="56"/>
        <v>0</v>
      </c>
      <c r="K135" s="9">
        <v>0</v>
      </c>
      <c r="L135" s="29">
        <v>0</v>
      </c>
      <c r="M135" s="50">
        <v>0</v>
      </c>
      <c r="N135" s="94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269">
        <v>0</v>
      </c>
      <c r="U135" s="269">
        <v>0</v>
      </c>
      <c r="V135" s="269">
        <f t="shared" si="57"/>
        <v>0</v>
      </c>
    </row>
    <row r="136" spans="1:22" x14ac:dyDescent="0.25">
      <c r="A136" s="103">
        <v>133</v>
      </c>
      <c r="B136" s="102"/>
      <c r="C136" s="3"/>
      <c r="D136" s="3"/>
      <c r="E136" s="20" t="s">
        <v>33</v>
      </c>
      <c r="F136" s="9">
        <v>0</v>
      </c>
      <c r="G136" s="3">
        <v>0</v>
      </c>
      <c r="H136" s="9">
        <v>0</v>
      </c>
      <c r="I136" s="9">
        <v>0</v>
      </c>
      <c r="J136" s="9">
        <f t="shared" si="56"/>
        <v>0</v>
      </c>
      <c r="K136" s="9">
        <v>0</v>
      </c>
      <c r="L136" s="29">
        <v>0</v>
      </c>
      <c r="M136" s="50">
        <v>0</v>
      </c>
      <c r="N136" s="94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269">
        <v>0</v>
      </c>
      <c r="U136" s="269">
        <v>0</v>
      </c>
      <c r="V136" s="269">
        <f t="shared" si="57"/>
        <v>0</v>
      </c>
    </row>
    <row r="137" spans="1:22" x14ac:dyDescent="0.25">
      <c r="A137" s="24">
        <v>134</v>
      </c>
      <c r="B137" s="102"/>
      <c r="C137" s="3"/>
      <c r="D137" s="3"/>
      <c r="E137" s="20" t="s">
        <v>34</v>
      </c>
      <c r="F137" s="9">
        <v>0</v>
      </c>
      <c r="G137" s="3">
        <v>0</v>
      </c>
      <c r="H137" s="9">
        <v>0</v>
      </c>
      <c r="I137" s="9">
        <v>0</v>
      </c>
      <c r="J137" s="9">
        <f t="shared" si="56"/>
        <v>0</v>
      </c>
      <c r="K137" s="9">
        <v>0</v>
      </c>
      <c r="L137" s="29">
        <v>0</v>
      </c>
      <c r="M137" s="50">
        <v>0</v>
      </c>
      <c r="N137" s="94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269">
        <v>0</v>
      </c>
      <c r="U137" s="269">
        <v>0</v>
      </c>
      <c r="V137" s="269">
        <f t="shared" si="57"/>
        <v>0</v>
      </c>
    </row>
    <row r="138" spans="1:22" x14ac:dyDescent="0.25">
      <c r="A138" s="103">
        <v>135</v>
      </c>
      <c r="B138" s="102"/>
      <c r="C138" s="3"/>
      <c r="D138" s="3"/>
      <c r="E138" s="20" t="s">
        <v>35</v>
      </c>
      <c r="F138" s="9">
        <v>0</v>
      </c>
      <c r="G138" s="3">
        <v>0</v>
      </c>
      <c r="H138" s="9">
        <v>0</v>
      </c>
      <c r="I138" s="9">
        <v>0</v>
      </c>
      <c r="J138" s="9">
        <f t="shared" si="56"/>
        <v>0</v>
      </c>
      <c r="K138" s="9">
        <v>0</v>
      </c>
      <c r="L138" s="29">
        <v>0</v>
      </c>
      <c r="M138" s="50">
        <v>0</v>
      </c>
      <c r="N138" s="94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269">
        <v>0</v>
      </c>
      <c r="U138" s="269">
        <v>0</v>
      </c>
      <c r="V138" s="269">
        <f t="shared" si="57"/>
        <v>0</v>
      </c>
    </row>
    <row r="139" spans="1:22" x14ac:dyDescent="0.25">
      <c r="A139" s="103">
        <v>136</v>
      </c>
      <c r="B139" s="102"/>
      <c r="C139" s="3"/>
      <c r="D139" s="3" t="s">
        <v>47</v>
      </c>
      <c r="E139" s="21"/>
      <c r="F139" s="9">
        <v>0</v>
      </c>
      <c r="G139" s="3">
        <v>0</v>
      </c>
      <c r="H139" s="9">
        <v>0</v>
      </c>
      <c r="I139" s="9">
        <v>0</v>
      </c>
      <c r="J139" s="9">
        <f>H139+I139</f>
        <v>0</v>
      </c>
      <c r="K139" s="9">
        <v>0</v>
      </c>
      <c r="L139" s="29">
        <v>0</v>
      </c>
      <c r="M139" s="50">
        <v>0</v>
      </c>
      <c r="N139" s="94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269">
        <v>0</v>
      </c>
      <c r="U139" s="269">
        <v>0</v>
      </c>
      <c r="V139" s="269">
        <f t="shared" si="57"/>
        <v>0</v>
      </c>
    </row>
    <row r="140" spans="1:22" x14ac:dyDescent="0.25">
      <c r="A140" s="24">
        <v>137</v>
      </c>
      <c r="B140" s="102"/>
      <c r="C140" s="3"/>
      <c r="D140" s="3" t="s">
        <v>37</v>
      </c>
      <c r="E140" s="21"/>
      <c r="F140" s="9">
        <v>55242</v>
      </c>
      <c r="G140" s="9">
        <v>63639</v>
      </c>
      <c r="H140" s="9">
        <v>59517</v>
      </c>
      <c r="I140" s="9">
        <v>712</v>
      </c>
      <c r="J140" s="9">
        <f>H140+I140</f>
        <v>60229</v>
      </c>
      <c r="K140" s="9">
        <v>951</v>
      </c>
      <c r="L140" s="29">
        <f>K140+J140</f>
        <v>61180</v>
      </c>
      <c r="M140" s="50">
        <v>0</v>
      </c>
      <c r="N140" s="27">
        <v>61180</v>
      </c>
      <c r="O140" s="9">
        <v>72000</v>
      </c>
      <c r="P140" s="9">
        <v>97351</v>
      </c>
      <c r="Q140" s="9">
        <v>113572</v>
      </c>
      <c r="R140" s="9">
        <v>56998</v>
      </c>
      <c r="S140" s="9">
        <v>65196</v>
      </c>
      <c r="T140" s="269">
        <v>66885</v>
      </c>
      <c r="U140" s="269">
        <v>6765</v>
      </c>
      <c r="V140" s="269">
        <f t="shared" si="57"/>
        <v>73650</v>
      </c>
    </row>
    <row r="141" spans="1:22" x14ac:dyDescent="0.25">
      <c r="A141" s="103">
        <v>138</v>
      </c>
      <c r="B141" s="102"/>
      <c r="C141" s="3" t="s">
        <v>38</v>
      </c>
      <c r="D141" s="3"/>
      <c r="E141" s="21"/>
      <c r="F141" s="9">
        <v>54893</v>
      </c>
      <c r="G141" s="9">
        <v>57505</v>
      </c>
      <c r="H141" s="9">
        <v>56434</v>
      </c>
      <c r="I141" s="11">
        <v>0</v>
      </c>
      <c r="J141" s="11">
        <f t="shared" si="56"/>
        <v>56434</v>
      </c>
      <c r="K141" s="11">
        <v>0</v>
      </c>
      <c r="L141" s="31">
        <v>56434</v>
      </c>
      <c r="M141" s="90">
        <v>0</v>
      </c>
      <c r="N141" s="27">
        <v>56434</v>
      </c>
      <c r="O141" s="9">
        <v>56813</v>
      </c>
      <c r="P141" s="9">
        <v>74212</v>
      </c>
      <c r="Q141" s="9">
        <v>74212</v>
      </c>
      <c r="R141" s="9">
        <v>72191</v>
      </c>
      <c r="S141" s="9">
        <v>94418</v>
      </c>
      <c r="T141" s="269">
        <v>95037</v>
      </c>
      <c r="U141" s="269">
        <v>0</v>
      </c>
      <c r="V141" s="269">
        <f t="shared" si="57"/>
        <v>95037</v>
      </c>
    </row>
    <row r="142" spans="1:22" x14ac:dyDescent="0.25">
      <c r="A142" s="103">
        <v>139</v>
      </c>
      <c r="B142" s="102"/>
      <c r="C142" s="3" t="s">
        <v>39</v>
      </c>
      <c r="D142" s="3"/>
      <c r="E142" s="21"/>
      <c r="F142" s="9">
        <v>0</v>
      </c>
      <c r="G142" s="3">
        <v>0</v>
      </c>
      <c r="H142" s="9">
        <v>0</v>
      </c>
      <c r="I142" s="9">
        <v>0</v>
      </c>
      <c r="J142" s="9">
        <f t="shared" si="56"/>
        <v>0</v>
      </c>
      <c r="K142" s="9">
        <v>0</v>
      </c>
      <c r="L142" s="29">
        <v>0</v>
      </c>
      <c r="M142" s="50">
        <v>0</v>
      </c>
      <c r="N142" s="94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269">
        <v>0</v>
      </c>
      <c r="U142" s="269">
        <v>0</v>
      </c>
      <c r="V142" s="269">
        <f t="shared" si="57"/>
        <v>0</v>
      </c>
    </row>
    <row r="143" spans="1:22" x14ac:dyDescent="0.25">
      <c r="A143" s="24">
        <v>140</v>
      </c>
      <c r="B143" s="102"/>
      <c r="C143" s="3" t="s">
        <v>304</v>
      </c>
      <c r="D143" s="3"/>
      <c r="E143" s="21"/>
      <c r="F143" s="9"/>
      <c r="G143" s="3"/>
      <c r="H143" s="9"/>
      <c r="I143" s="9"/>
      <c r="J143" s="9"/>
      <c r="K143" s="9"/>
      <c r="L143" s="29"/>
      <c r="M143" s="50"/>
      <c r="N143" s="94"/>
      <c r="O143" s="9">
        <f t="shared" ref="O143:T143" si="58">SUM(O144:O147)</f>
        <v>0</v>
      </c>
      <c r="P143" s="123">
        <f t="shared" si="58"/>
        <v>0</v>
      </c>
      <c r="Q143" s="123">
        <f t="shared" si="58"/>
        <v>0</v>
      </c>
      <c r="R143" s="123">
        <f t="shared" si="58"/>
        <v>0</v>
      </c>
      <c r="S143" s="123">
        <f t="shared" si="58"/>
        <v>0</v>
      </c>
      <c r="T143" s="270">
        <f t="shared" si="58"/>
        <v>0</v>
      </c>
      <c r="U143" s="270">
        <f>SUM(U144:U147)</f>
        <v>0</v>
      </c>
      <c r="V143" s="270">
        <f>SUM(V144:V147)</f>
        <v>0</v>
      </c>
    </row>
    <row r="144" spans="1:22" x14ac:dyDescent="0.25">
      <c r="A144" s="103">
        <v>141</v>
      </c>
      <c r="B144" s="102"/>
      <c r="C144" s="3"/>
      <c r="D144" s="3" t="s">
        <v>306</v>
      </c>
      <c r="E144" s="21"/>
      <c r="F144" s="9"/>
      <c r="G144" s="3"/>
      <c r="H144" s="9"/>
      <c r="I144" s="9"/>
      <c r="J144" s="9"/>
      <c r="K144" s="9"/>
      <c r="L144" s="29"/>
      <c r="M144" s="50"/>
      <c r="N144" s="94"/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269">
        <v>0</v>
      </c>
      <c r="U144" s="269">
        <v>0</v>
      </c>
      <c r="V144" s="269">
        <f t="shared" si="57"/>
        <v>0</v>
      </c>
    </row>
    <row r="145" spans="1:22" x14ac:dyDescent="0.25">
      <c r="A145" s="103">
        <v>142</v>
      </c>
      <c r="B145" s="102"/>
      <c r="C145" s="3"/>
      <c r="D145" s="3" t="s">
        <v>305</v>
      </c>
      <c r="E145" s="21"/>
      <c r="F145" s="9"/>
      <c r="G145" s="3"/>
      <c r="H145" s="9"/>
      <c r="I145" s="9"/>
      <c r="J145" s="9"/>
      <c r="K145" s="9"/>
      <c r="L145" s="29"/>
      <c r="M145" s="50"/>
      <c r="N145" s="94"/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269">
        <v>0</v>
      </c>
      <c r="U145" s="269">
        <v>0</v>
      </c>
      <c r="V145" s="269">
        <f t="shared" si="57"/>
        <v>0</v>
      </c>
    </row>
    <row r="146" spans="1:22" x14ac:dyDescent="0.25">
      <c r="A146" s="24">
        <v>143</v>
      </c>
      <c r="B146" s="102"/>
      <c r="C146" s="3"/>
      <c r="D146" s="3" t="s">
        <v>307</v>
      </c>
      <c r="E146" s="21"/>
      <c r="F146" s="9"/>
      <c r="G146" s="3"/>
      <c r="H146" s="9"/>
      <c r="I146" s="9"/>
      <c r="J146" s="9"/>
      <c r="K146" s="9"/>
      <c r="L146" s="29"/>
      <c r="M146" s="50"/>
      <c r="N146" s="94"/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269">
        <v>0</v>
      </c>
      <c r="U146" s="269">
        <v>0</v>
      </c>
      <c r="V146" s="269">
        <f t="shared" si="57"/>
        <v>0</v>
      </c>
    </row>
    <row r="147" spans="1:22" x14ac:dyDescent="0.25">
      <c r="A147" s="103">
        <v>144</v>
      </c>
      <c r="B147" s="102"/>
      <c r="C147" s="3"/>
      <c r="D147" s="3" t="s">
        <v>308</v>
      </c>
      <c r="E147" s="21"/>
      <c r="F147" s="9"/>
      <c r="G147" s="3"/>
      <c r="H147" s="9"/>
      <c r="I147" s="9"/>
      <c r="J147" s="9"/>
      <c r="K147" s="9"/>
      <c r="L147" s="29"/>
      <c r="M147" s="50"/>
      <c r="N147" s="94"/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269">
        <v>0</v>
      </c>
      <c r="U147" s="269">
        <v>0</v>
      </c>
      <c r="V147" s="269">
        <f t="shared" si="57"/>
        <v>0</v>
      </c>
    </row>
    <row r="148" spans="1:22" x14ac:dyDescent="0.25">
      <c r="A148" s="103">
        <v>145</v>
      </c>
      <c r="B148" s="101" t="s">
        <v>40</v>
      </c>
      <c r="C148" s="16"/>
      <c r="D148" s="16"/>
      <c r="E148" s="17"/>
      <c r="F148" s="11">
        <f>SUM(F149:F152)</f>
        <v>0</v>
      </c>
      <c r="G148" s="3">
        <v>0</v>
      </c>
      <c r="H148" s="9">
        <v>0</v>
      </c>
      <c r="I148" s="9">
        <v>0</v>
      </c>
      <c r="J148" s="9">
        <f t="shared" si="56"/>
        <v>0</v>
      </c>
      <c r="K148" s="9">
        <v>0</v>
      </c>
      <c r="L148" s="29">
        <v>0</v>
      </c>
      <c r="M148" s="50">
        <v>0</v>
      </c>
      <c r="N148" s="94">
        <v>0</v>
      </c>
      <c r="O148" s="11">
        <v>0</v>
      </c>
      <c r="P148" s="111">
        <f>SUM(P149:P152)</f>
        <v>0</v>
      </c>
      <c r="Q148" s="111">
        <f>SUM(Q149:Q152)</f>
        <v>0</v>
      </c>
      <c r="R148" s="111">
        <f>SUM(R149:R152)</f>
        <v>0</v>
      </c>
      <c r="S148" s="111">
        <f>SUM(S149:S152)</f>
        <v>0</v>
      </c>
      <c r="T148" s="112">
        <f>SUM(T149:T152)</f>
        <v>0</v>
      </c>
      <c r="U148" s="112">
        <v>0</v>
      </c>
      <c r="V148" s="112">
        <v>0</v>
      </c>
    </row>
    <row r="149" spans="1:22" x14ac:dyDescent="0.25">
      <c r="A149" s="24">
        <v>146</v>
      </c>
      <c r="B149" s="102"/>
      <c r="C149" s="3" t="s">
        <v>41</v>
      </c>
      <c r="D149" s="3"/>
      <c r="E149" s="7"/>
      <c r="F149" s="9">
        <v>0</v>
      </c>
      <c r="G149" s="3">
        <v>0</v>
      </c>
      <c r="H149" s="9">
        <v>0</v>
      </c>
      <c r="I149" s="9">
        <v>0</v>
      </c>
      <c r="J149" s="9">
        <f t="shared" si="56"/>
        <v>0</v>
      </c>
      <c r="K149" s="9">
        <v>0</v>
      </c>
      <c r="L149" s="29">
        <v>0</v>
      </c>
      <c r="M149" s="50">
        <v>0</v>
      </c>
      <c r="N149" s="94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269">
        <v>0</v>
      </c>
      <c r="U149" s="269">
        <v>0</v>
      </c>
      <c r="V149" s="269">
        <f t="shared" si="57"/>
        <v>0</v>
      </c>
    </row>
    <row r="150" spans="1:22" x14ac:dyDescent="0.25">
      <c r="A150" s="103">
        <v>147</v>
      </c>
      <c r="B150" s="102"/>
      <c r="C150" s="3" t="s">
        <v>42</v>
      </c>
      <c r="D150" s="3"/>
      <c r="E150" s="7"/>
      <c r="F150" s="9">
        <v>0</v>
      </c>
      <c r="G150" s="3">
        <v>0</v>
      </c>
      <c r="H150" s="9">
        <v>0</v>
      </c>
      <c r="I150" s="9">
        <v>0</v>
      </c>
      <c r="J150" s="9">
        <f t="shared" si="56"/>
        <v>0</v>
      </c>
      <c r="K150" s="9">
        <v>0</v>
      </c>
      <c r="L150" s="29">
        <v>0</v>
      </c>
      <c r="M150" s="50">
        <v>0</v>
      </c>
      <c r="N150" s="94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269">
        <v>0</v>
      </c>
      <c r="U150" s="269">
        <v>0</v>
      </c>
      <c r="V150" s="269">
        <f t="shared" si="57"/>
        <v>0</v>
      </c>
    </row>
    <row r="151" spans="1:22" x14ac:dyDescent="0.25">
      <c r="A151" s="103">
        <v>148</v>
      </c>
      <c r="B151" s="102"/>
      <c r="C151" s="3" t="s">
        <v>44</v>
      </c>
      <c r="D151" s="3"/>
      <c r="E151" s="7"/>
      <c r="F151" s="9">
        <v>0</v>
      </c>
      <c r="G151" s="3">
        <v>0</v>
      </c>
      <c r="H151" s="9">
        <v>0</v>
      </c>
      <c r="I151" s="9">
        <v>0</v>
      </c>
      <c r="J151" s="9">
        <f t="shared" si="56"/>
        <v>0</v>
      </c>
      <c r="K151" s="9">
        <v>0</v>
      </c>
      <c r="L151" s="29">
        <v>0</v>
      </c>
      <c r="M151" s="50">
        <v>0</v>
      </c>
      <c r="N151" s="94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269">
        <v>0</v>
      </c>
      <c r="U151" s="269">
        <v>0</v>
      </c>
      <c r="V151" s="269">
        <f t="shared" si="57"/>
        <v>0</v>
      </c>
    </row>
    <row r="152" spans="1:22" x14ac:dyDescent="0.25">
      <c r="A152" s="24">
        <v>149</v>
      </c>
      <c r="B152" s="102"/>
      <c r="C152" s="3" t="s">
        <v>43</v>
      </c>
      <c r="D152" s="3"/>
      <c r="E152" s="7"/>
      <c r="F152" s="9">
        <v>0</v>
      </c>
      <c r="G152" s="3">
        <v>0</v>
      </c>
      <c r="H152" s="9">
        <v>0</v>
      </c>
      <c r="I152" s="9">
        <v>0</v>
      </c>
      <c r="J152" s="9">
        <f t="shared" si="56"/>
        <v>0</v>
      </c>
      <c r="K152" s="9">
        <v>0</v>
      </c>
      <c r="L152" s="29">
        <v>0</v>
      </c>
      <c r="M152" s="50">
        <v>0</v>
      </c>
      <c r="N152" s="94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269">
        <v>0</v>
      </c>
      <c r="U152" s="269">
        <v>0</v>
      </c>
      <c r="V152" s="269">
        <f t="shared" si="57"/>
        <v>0</v>
      </c>
    </row>
    <row r="153" spans="1:22" x14ac:dyDescent="0.25">
      <c r="A153" s="103">
        <v>150</v>
      </c>
      <c r="B153" s="101" t="s">
        <v>45</v>
      </c>
      <c r="C153" s="16"/>
      <c r="D153" s="16"/>
      <c r="E153" s="17"/>
      <c r="F153" s="11">
        <f>+F154+F155</f>
        <v>309865</v>
      </c>
      <c r="G153" s="11">
        <f>+G154+G155</f>
        <v>412403</v>
      </c>
      <c r="H153" s="11">
        <f>H154+H155</f>
        <v>375000</v>
      </c>
      <c r="I153" s="11">
        <f>I154+I155</f>
        <v>44809</v>
      </c>
      <c r="J153" s="11">
        <f t="shared" si="56"/>
        <v>419809</v>
      </c>
      <c r="K153" s="11">
        <f>K154+K155</f>
        <v>18636</v>
      </c>
      <c r="L153" s="31">
        <f>K153+J153</f>
        <v>438445</v>
      </c>
      <c r="M153" s="8">
        <v>5763</v>
      </c>
      <c r="N153" s="88">
        <f>L153+M153</f>
        <v>444208</v>
      </c>
      <c r="O153" s="11">
        <f>O154+O155</f>
        <v>425000</v>
      </c>
      <c r="P153" s="111">
        <f t="shared" ref="P153:U153" si="59">SUM(P154:P155)</f>
        <v>400478</v>
      </c>
      <c r="Q153" s="111">
        <f t="shared" si="59"/>
        <v>541247</v>
      </c>
      <c r="R153" s="111">
        <f t="shared" si="59"/>
        <v>665442</v>
      </c>
      <c r="S153" s="111">
        <f t="shared" si="59"/>
        <v>731374</v>
      </c>
      <c r="T153" s="112">
        <f t="shared" si="59"/>
        <v>764384</v>
      </c>
      <c r="U153" s="112">
        <f t="shared" si="59"/>
        <v>26766</v>
      </c>
      <c r="V153" s="112">
        <f>T153+U153</f>
        <v>791150</v>
      </c>
    </row>
    <row r="154" spans="1:22" x14ac:dyDescent="0.25">
      <c r="A154" s="103">
        <v>151</v>
      </c>
      <c r="B154" s="102"/>
      <c r="C154" s="3" t="s">
        <v>46</v>
      </c>
      <c r="D154" s="3"/>
      <c r="E154" s="7"/>
      <c r="F154" s="9">
        <v>0</v>
      </c>
      <c r="G154" s="9">
        <v>63356</v>
      </c>
      <c r="H154" s="9">
        <v>0</v>
      </c>
      <c r="I154" s="9">
        <v>30543</v>
      </c>
      <c r="J154" s="9">
        <f t="shared" si="56"/>
        <v>30543</v>
      </c>
      <c r="K154" s="9">
        <v>0</v>
      </c>
      <c r="L154" s="29">
        <v>30543</v>
      </c>
      <c r="M154" s="50">
        <v>0</v>
      </c>
      <c r="N154" s="27">
        <v>3054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269">
        <v>0</v>
      </c>
      <c r="U154" s="269">
        <v>2193</v>
      </c>
      <c r="V154" s="269">
        <f t="shared" si="57"/>
        <v>2193</v>
      </c>
    </row>
    <row r="155" spans="1:22" x14ac:dyDescent="0.25">
      <c r="A155" s="24">
        <v>152</v>
      </c>
      <c r="B155" s="102"/>
      <c r="C155" s="3" t="s">
        <v>50</v>
      </c>
      <c r="D155" s="3"/>
      <c r="E155" s="7"/>
      <c r="F155" s="9">
        <v>309865</v>
      </c>
      <c r="G155" s="9">
        <v>349047</v>
      </c>
      <c r="H155" s="9">
        <v>375000</v>
      </c>
      <c r="I155" s="9">
        <v>14266</v>
      </c>
      <c r="J155" s="9">
        <f t="shared" si="56"/>
        <v>389266</v>
      </c>
      <c r="K155" s="9">
        <f>11425+1028+1150+5033</f>
        <v>18636</v>
      </c>
      <c r="L155" s="29">
        <f>K155+J155</f>
        <v>407902</v>
      </c>
      <c r="M155" s="10">
        <v>5763</v>
      </c>
      <c r="N155" s="27">
        <f>L155+M155</f>
        <v>413665</v>
      </c>
      <c r="O155" s="9">
        <v>425000</v>
      </c>
      <c r="P155" s="9">
        <v>400478</v>
      </c>
      <c r="Q155" s="9">
        <v>541247</v>
      </c>
      <c r="R155" s="9">
        <v>665442</v>
      </c>
      <c r="S155" s="9">
        <v>731374</v>
      </c>
      <c r="T155" s="269">
        <v>764384</v>
      </c>
      <c r="U155" s="269">
        <v>24573</v>
      </c>
      <c r="V155" s="269">
        <f t="shared" si="57"/>
        <v>788957</v>
      </c>
    </row>
    <row r="156" spans="1:22" x14ac:dyDescent="0.25">
      <c r="A156" s="103">
        <v>153</v>
      </c>
      <c r="B156" s="101" t="s">
        <v>19</v>
      </c>
      <c r="C156" s="16"/>
      <c r="D156" s="16"/>
      <c r="E156" s="17"/>
      <c r="F156" s="11">
        <f>+F153+F148+F130</f>
        <v>420000</v>
      </c>
      <c r="G156" s="11">
        <f>+G153+G148+G130</f>
        <v>533547</v>
      </c>
      <c r="H156" s="11">
        <f>H153+H148+H130</f>
        <v>490951</v>
      </c>
      <c r="I156" s="11">
        <f>I153+I130</f>
        <v>45521</v>
      </c>
      <c r="J156" s="11">
        <f t="shared" si="56"/>
        <v>536472</v>
      </c>
      <c r="K156" s="11">
        <f>K153+K130</f>
        <v>19587</v>
      </c>
      <c r="L156" s="31">
        <f>K156+J156</f>
        <v>556059</v>
      </c>
      <c r="M156" s="8">
        <v>5763</v>
      </c>
      <c r="N156" s="88">
        <f>N130+N153</f>
        <v>561822</v>
      </c>
      <c r="O156" s="11">
        <f>O153+O148+O130</f>
        <v>481813</v>
      </c>
      <c r="P156" s="111">
        <f t="shared" ref="P156:U156" si="60">SUM(P153,P148,P130)</f>
        <v>572041</v>
      </c>
      <c r="Q156" s="111">
        <f t="shared" si="60"/>
        <v>729031</v>
      </c>
      <c r="R156" s="111">
        <f t="shared" si="60"/>
        <v>794631</v>
      </c>
      <c r="S156" s="111">
        <f t="shared" si="60"/>
        <v>890988</v>
      </c>
      <c r="T156" s="112">
        <f t="shared" si="60"/>
        <v>926306</v>
      </c>
      <c r="U156" s="112">
        <f t="shared" si="60"/>
        <v>33531</v>
      </c>
      <c r="V156" s="112">
        <f>V130+V153</f>
        <v>959837</v>
      </c>
    </row>
    <row r="157" spans="1:22" ht="78.75" customHeight="1" x14ac:dyDescent="0.25">
      <c r="A157" s="103">
        <v>154</v>
      </c>
      <c r="B157" s="101" t="s">
        <v>48</v>
      </c>
      <c r="C157" s="3"/>
      <c r="D157" s="3"/>
      <c r="E157" s="7"/>
      <c r="F157" s="15" t="s">
        <v>107</v>
      </c>
      <c r="G157" s="6" t="s">
        <v>113</v>
      </c>
      <c r="H157" s="6" t="s">
        <v>112</v>
      </c>
      <c r="I157" s="24" t="s">
        <v>111</v>
      </c>
      <c r="J157" s="6" t="s">
        <v>115</v>
      </c>
      <c r="K157" s="24" t="s">
        <v>111</v>
      </c>
      <c r="L157" s="79" t="s">
        <v>257</v>
      </c>
      <c r="M157" s="89" t="s">
        <v>111</v>
      </c>
      <c r="N157" s="79" t="s">
        <v>262</v>
      </c>
      <c r="O157" s="6" t="str">
        <f>$O$4</f>
        <v>Előirányzat
4/2020. (III.05.) önkormányzati rendelet</v>
      </c>
      <c r="P157" s="6" t="s">
        <v>311</v>
      </c>
      <c r="Q157" s="6" t="str">
        <f>Q$4</f>
        <v>Előirányzat
3/2022. (II.10.) önkormányzati rendelet</v>
      </c>
      <c r="R157" s="6" t="str">
        <f>R$4</f>
        <v>Előirányzat
1./2023. (II.23.) önkormányzati rendelet</v>
      </c>
      <c r="S157" s="6" t="str">
        <f>S$4</f>
        <v>Előirányzat
1./2024. (II)22. önkormányzati rendelet</v>
      </c>
      <c r="T157" s="266" t="str">
        <f>T$4</f>
        <v>Előirányzat
2/2025. (II.20.) önkormányzati rendelet</v>
      </c>
      <c r="U157" s="266" t="s">
        <v>111</v>
      </c>
      <c r="V157" s="266" t="str">
        <f>V4</f>
        <v>Módosított előirányzat</v>
      </c>
    </row>
    <row r="158" spans="1:22" x14ac:dyDescent="0.25">
      <c r="A158" s="24">
        <v>155</v>
      </c>
      <c r="B158" s="101" t="s">
        <v>25</v>
      </c>
      <c r="C158" s="3"/>
      <c r="D158" s="3"/>
      <c r="E158" s="7"/>
      <c r="F158" s="9"/>
      <c r="G158" s="3"/>
      <c r="H158" s="9"/>
      <c r="I158" s="3"/>
      <c r="J158" s="3"/>
      <c r="K158" s="3"/>
      <c r="L158" s="26"/>
      <c r="M158" s="50"/>
      <c r="N158" s="94"/>
      <c r="O158" s="3"/>
      <c r="P158" s="9"/>
      <c r="Q158" s="9"/>
      <c r="R158" s="9"/>
      <c r="S158" s="9"/>
      <c r="T158" s="269"/>
      <c r="U158" s="269"/>
      <c r="V158" s="269"/>
    </row>
    <row r="159" spans="1:22" x14ac:dyDescent="0.25">
      <c r="A159" s="103">
        <v>156</v>
      </c>
      <c r="B159" s="101"/>
      <c r="C159" s="3" t="s">
        <v>26</v>
      </c>
      <c r="D159" s="3"/>
      <c r="E159" s="7"/>
      <c r="F159" s="9"/>
      <c r="G159" s="3"/>
      <c r="H159" s="9"/>
      <c r="I159" s="3"/>
      <c r="J159" s="3"/>
      <c r="K159" s="3"/>
      <c r="L159" s="26"/>
      <c r="M159" s="50"/>
      <c r="N159" s="94"/>
      <c r="O159" s="3"/>
      <c r="P159" s="9"/>
      <c r="Q159" s="9"/>
      <c r="R159" s="9"/>
      <c r="S159" s="9"/>
      <c r="T159" s="269"/>
      <c r="U159" s="269"/>
      <c r="V159" s="269"/>
    </row>
    <row r="160" spans="1:22" x14ac:dyDescent="0.25">
      <c r="A160" s="103">
        <v>157</v>
      </c>
      <c r="B160" s="101" t="s">
        <v>28</v>
      </c>
      <c r="C160" s="16"/>
      <c r="D160" s="16"/>
      <c r="E160" s="17"/>
      <c r="F160" s="11">
        <f>+F161+F171+F172</f>
        <v>1123281</v>
      </c>
      <c r="G160" s="11">
        <f>+G161+G171+G172</f>
        <v>2323601</v>
      </c>
      <c r="H160" s="11">
        <f>H161+H171+H172</f>
        <v>1358143</v>
      </c>
      <c r="I160" s="11">
        <f>I161+I171</f>
        <v>192193</v>
      </c>
      <c r="J160" s="11">
        <f t="shared" ref="J160:L160" si="61">J161+J171+J172</f>
        <v>1550336</v>
      </c>
      <c r="K160" s="11">
        <f t="shared" si="61"/>
        <v>210060</v>
      </c>
      <c r="L160" s="31">
        <f t="shared" si="61"/>
        <v>1760396</v>
      </c>
      <c r="M160" s="88">
        <f>M161+M171+M172</f>
        <v>88016</v>
      </c>
      <c r="N160" s="88">
        <f>N161+N171+N172</f>
        <v>1848412</v>
      </c>
      <c r="O160" s="11">
        <f t="shared" ref="O160:T160" si="62">SUM(O161,O171,O172,O173)</f>
        <v>3360124</v>
      </c>
      <c r="P160" s="126">
        <f t="shared" si="62"/>
        <v>3375097</v>
      </c>
      <c r="Q160" s="126">
        <f t="shared" si="62"/>
        <v>3864115</v>
      </c>
      <c r="R160" s="126">
        <f t="shared" si="62"/>
        <v>4583709</v>
      </c>
      <c r="S160" s="126">
        <f t="shared" si="62"/>
        <v>5034831</v>
      </c>
      <c r="T160" s="277">
        <f t="shared" si="62"/>
        <v>5624671</v>
      </c>
      <c r="U160" s="277">
        <f t="shared" ref="U160" si="63">SUM(U161,U171,U172,U173)</f>
        <v>252637</v>
      </c>
      <c r="V160" s="277">
        <f>SUM(V161,V171,V172,V173)</f>
        <v>5877308</v>
      </c>
    </row>
    <row r="161" spans="1:22" x14ac:dyDescent="0.25">
      <c r="A161" s="24">
        <v>158</v>
      </c>
      <c r="B161" s="102"/>
      <c r="C161" s="3" t="s">
        <v>29</v>
      </c>
      <c r="D161" s="3"/>
      <c r="E161" s="7"/>
      <c r="F161" s="9">
        <f t="shared" ref="F161" si="64">+F162+F169+F170</f>
        <v>783333</v>
      </c>
      <c r="G161" s="14">
        <v>1761190</v>
      </c>
      <c r="H161" s="9">
        <f>+H162+H169+H170</f>
        <v>869953</v>
      </c>
      <c r="I161" s="9">
        <f t="shared" ref="I161:K161" si="65">+I162+I169+I170</f>
        <v>187174</v>
      </c>
      <c r="J161" s="9">
        <f t="shared" si="65"/>
        <v>1057127</v>
      </c>
      <c r="K161" s="9">
        <f t="shared" si="65"/>
        <v>91627</v>
      </c>
      <c r="L161" s="29">
        <f>+L162+L169+L170</f>
        <v>1148754</v>
      </c>
      <c r="M161" s="10">
        <f>M101+M41+M9</f>
        <v>42016</v>
      </c>
      <c r="N161" s="27">
        <f>N131+N101+N71+N41+N9</f>
        <v>1190770</v>
      </c>
      <c r="O161" s="9">
        <f>O162+O169+O170</f>
        <v>1077811</v>
      </c>
      <c r="P161" s="110">
        <f>SUM(P162,P169:P170)</f>
        <v>1822360</v>
      </c>
      <c r="Q161" s="110">
        <f>SUM(Q162,Q169:Q170)</f>
        <v>1738980</v>
      </c>
      <c r="R161" s="110">
        <f>SUM(R162,R169:R170)</f>
        <v>1788019</v>
      </c>
      <c r="S161" s="110">
        <f>SUM(S162,S169:S170)</f>
        <v>1983647</v>
      </c>
      <c r="T161" s="272">
        <f>SUM(T162,T169:T170)</f>
        <v>2352080</v>
      </c>
      <c r="U161" s="272">
        <f t="shared" ref="U161" si="66">SUM(U162,U169:U170)</f>
        <v>216192</v>
      </c>
      <c r="V161" s="272">
        <f>SUM(V162,V169:V170)</f>
        <v>2568272</v>
      </c>
    </row>
    <row r="162" spans="1:22" x14ac:dyDescent="0.25">
      <c r="A162" s="103">
        <v>159</v>
      </c>
      <c r="B162" s="102"/>
      <c r="C162" s="3"/>
      <c r="D162" s="3" t="s">
        <v>36</v>
      </c>
      <c r="E162" s="7"/>
      <c r="F162" s="9">
        <f>SUM(F163:F168)</f>
        <v>699843</v>
      </c>
      <c r="G162" s="9">
        <v>798289</v>
      </c>
      <c r="H162" s="9">
        <f>SUM(H163:H168)</f>
        <v>763483</v>
      </c>
      <c r="I162" s="9">
        <v>20668</v>
      </c>
      <c r="J162" s="9">
        <f t="shared" ref="J162:J172" si="67">I162+H162</f>
        <v>784151</v>
      </c>
      <c r="K162" s="9">
        <f>K163+K164+K165+K166+K167+K168</f>
        <v>51453</v>
      </c>
      <c r="L162" s="29">
        <f t="shared" ref="L162:L172" si="68">K162+J162</f>
        <v>835604</v>
      </c>
      <c r="M162" s="27">
        <f>M163+M165+M166</f>
        <v>8487</v>
      </c>
      <c r="N162" s="27">
        <f t="shared" ref="N162:N167" si="69">N10</f>
        <v>844091</v>
      </c>
      <c r="O162" s="9">
        <f>O163+O164+O165+O166</f>
        <v>790610</v>
      </c>
      <c r="P162" s="123">
        <f>SUM(P163:P168)</f>
        <v>1500181</v>
      </c>
      <c r="Q162" s="123">
        <f>SUM(Q163:Q168)</f>
        <v>1428691</v>
      </c>
      <c r="R162" s="123">
        <f>SUM(R163:R168)</f>
        <v>1669841</v>
      </c>
      <c r="S162" s="123">
        <f>SUM(S163:S168)</f>
        <v>1843834</v>
      </c>
      <c r="T162" s="270">
        <f>SUM(T163:T168)</f>
        <v>2192727</v>
      </c>
      <c r="U162" s="270">
        <f t="shared" ref="U162" si="70">SUM(U163:U168)</f>
        <v>13661</v>
      </c>
      <c r="V162" s="270">
        <f>SUM(V163:V168)</f>
        <v>2206388</v>
      </c>
    </row>
    <row r="163" spans="1:22" x14ac:dyDescent="0.25">
      <c r="A163" s="103">
        <v>160</v>
      </c>
      <c r="B163" s="102"/>
      <c r="C163" s="3"/>
      <c r="D163" s="3"/>
      <c r="E163" s="18" t="s">
        <v>30</v>
      </c>
      <c r="F163" s="9">
        <f t="shared" ref="F163:F172" si="71">SUM(F133,F103,F73,F43,F11)</f>
        <v>116695</v>
      </c>
      <c r="G163" s="9">
        <v>117200</v>
      </c>
      <c r="H163" s="9">
        <v>132006</v>
      </c>
      <c r="I163" s="9">
        <v>1208</v>
      </c>
      <c r="J163" s="9">
        <f t="shared" si="67"/>
        <v>133214</v>
      </c>
      <c r="K163" s="9">
        <f t="shared" ref="K163:K168" si="72">K11</f>
        <v>6697</v>
      </c>
      <c r="L163" s="29">
        <f t="shared" si="68"/>
        <v>139911</v>
      </c>
      <c r="M163" s="10">
        <f>M11</f>
        <v>453</v>
      </c>
      <c r="N163" s="27">
        <f t="shared" si="69"/>
        <v>140364</v>
      </c>
      <c r="O163" s="9">
        <f>O11</f>
        <v>126000</v>
      </c>
      <c r="P163" s="114">
        <f t="shared" ref="P163:T172" si="73">SUM(P11,P43,P73,P103,P133)</f>
        <v>487954</v>
      </c>
      <c r="Q163" s="114">
        <f t="shared" si="73"/>
        <v>498865</v>
      </c>
      <c r="R163" s="114">
        <f t="shared" si="73"/>
        <v>646586</v>
      </c>
      <c r="S163" s="114">
        <f t="shared" si="73"/>
        <v>545431</v>
      </c>
      <c r="T163" s="276">
        <f t="shared" si="73"/>
        <v>643124</v>
      </c>
      <c r="U163" s="276">
        <f>U11</f>
        <v>0</v>
      </c>
      <c r="V163" s="276">
        <f>SUM(T163:U163)</f>
        <v>643124</v>
      </c>
    </row>
    <row r="164" spans="1:22" x14ac:dyDescent="0.25">
      <c r="A164" s="24">
        <v>161</v>
      </c>
      <c r="B164" s="102"/>
      <c r="C164" s="3"/>
      <c r="D164" s="3"/>
      <c r="E164" s="18" t="s">
        <v>31</v>
      </c>
      <c r="F164" s="9">
        <f t="shared" si="71"/>
        <v>278498</v>
      </c>
      <c r="G164" s="9">
        <v>280423</v>
      </c>
      <c r="H164" s="9">
        <v>284098</v>
      </c>
      <c r="I164" s="3">
        <v>0</v>
      </c>
      <c r="J164" s="9">
        <f t="shared" si="67"/>
        <v>284098</v>
      </c>
      <c r="K164" s="9">
        <f t="shared" si="72"/>
        <v>4875</v>
      </c>
      <c r="L164" s="29">
        <f t="shared" si="68"/>
        <v>288973</v>
      </c>
      <c r="M164" s="10">
        <f>M12</f>
        <v>0</v>
      </c>
      <c r="N164" s="27">
        <f t="shared" si="69"/>
        <v>288973</v>
      </c>
      <c r="O164" s="9">
        <f>O12</f>
        <v>304063</v>
      </c>
      <c r="P164" s="114">
        <f t="shared" si="73"/>
        <v>333675</v>
      </c>
      <c r="Q164" s="114">
        <f t="shared" si="73"/>
        <v>394562</v>
      </c>
      <c r="R164" s="114">
        <f t="shared" si="73"/>
        <v>394507</v>
      </c>
      <c r="S164" s="114">
        <f t="shared" si="73"/>
        <v>588141</v>
      </c>
      <c r="T164" s="276">
        <f t="shared" si="73"/>
        <v>744429</v>
      </c>
      <c r="U164" s="276">
        <f>U12</f>
        <v>-33723</v>
      </c>
      <c r="V164" s="276">
        <f t="shared" ref="V164:V189" si="74">SUM(T164:U164)</f>
        <v>710706</v>
      </c>
    </row>
    <row r="165" spans="1:22" ht="30" x14ac:dyDescent="0.25">
      <c r="A165" s="103">
        <v>162</v>
      </c>
      <c r="B165" s="102"/>
      <c r="C165" s="3"/>
      <c r="D165" s="3"/>
      <c r="E165" s="20" t="s">
        <v>32</v>
      </c>
      <c r="F165" s="9">
        <f t="shared" si="71"/>
        <v>259708</v>
      </c>
      <c r="G165" s="9">
        <v>316977</v>
      </c>
      <c r="H165" s="9">
        <v>302156</v>
      </c>
      <c r="I165" s="9">
        <v>17081</v>
      </c>
      <c r="J165" s="9">
        <f t="shared" si="67"/>
        <v>319237</v>
      </c>
      <c r="K165" s="9">
        <f t="shared" si="72"/>
        <v>37806</v>
      </c>
      <c r="L165" s="29">
        <f t="shared" si="68"/>
        <v>357043</v>
      </c>
      <c r="M165" s="10">
        <f>M13</f>
        <v>5507</v>
      </c>
      <c r="N165" s="27">
        <f t="shared" si="69"/>
        <v>362550</v>
      </c>
      <c r="O165" s="9">
        <f>O13</f>
        <v>331321</v>
      </c>
      <c r="P165" s="114">
        <f t="shared" si="73"/>
        <v>398011</v>
      </c>
      <c r="Q165" s="114">
        <f t="shared" si="73"/>
        <v>466726</v>
      </c>
      <c r="R165" s="114">
        <f t="shared" si="73"/>
        <v>494186</v>
      </c>
      <c r="S165" s="114">
        <f t="shared" si="73"/>
        <v>621795</v>
      </c>
      <c r="T165" s="276">
        <f t="shared" si="73"/>
        <v>715667</v>
      </c>
      <c r="U165" s="276">
        <f>U13</f>
        <v>47384</v>
      </c>
      <c r="V165" s="276">
        <f t="shared" si="74"/>
        <v>763051</v>
      </c>
    </row>
    <row r="166" spans="1:22" x14ac:dyDescent="0.25">
      <c r="A166" s="103">
        <v>163</v>
      </c>
      <c r="B166" s="102"/>
      <c r="C166" s="3"/>
      <c r="D166" s="3"/>
      <c r="E166" s="20" t="s">
        <v>33</v>
      </c>
      <c r="F166" s="9">
        <f t="shared" si="71"/>
        <v>44942</v>
      </c>
      <c r="G166" s="9">
        <v>51075</v>
      </c>
      <c r="H166" s="9">
        <v>44866</v>
      </c>
      <c r="I166" s="9">
        <v>2379</v>
      </c>
      <c r="J166" s="9">
        <f t="shared" si="67"/>
        <v>47245</v>
      </c>
      <c r="K166" s="9">
        <f t="shared" si="72"/>
        <v>2075</v>
      </c>
      <c r="L166" s="29">
        <f t="shared" si="68"/>
        <v>49320</v>
      </c>
      <c r="M166" s="10">
        <f>M14</f>
        <v>2527</v>
      </c>
      <c r="N166" s="27">
        <f t="shared" si="69"/>
        <v>51847</v>
      </c>
      <c r="O166" s="9">
        <f>O14</f>
        <v>29226</v>
      </c>
      <c r="P166" s="114">
        <f t="shared" si="73"/>
        <v>50541</v>
      </c>
      <c r="Q166" s="114">
        <f t="shared" si="73"/>
        <v>68538</v>
      </c>
      <c r="R166" s="114">
        <f t="shared" si="73"/>
        <v>84562</v>
      </c>
      <c r="S166" s="114">
        <f t="shared" si="73"/>
        <v>84768</v>
      </c>
      <c r="T166" s="276">
        <f t="shared" si="73"/>
        <v>84547</v>
      </c>
      <c r="U166" s="276">
        <f>U14</f>
        <v>0</v>
      </c>
      <c r="V166" s="276">
        <f t="shared" si="74"/>
        <v>84547</v>
      </c>
    </row>
    <row r="167" spans="1:22" x14ac:dyDescent="0.25">
      <c r="A167" s="24">
        <v>164</v>
      </c>
      <c r="B167" s="102"/>
      <c r="C167" s="3"/>
      <c r="D167" s="3"/>
      <c r="E167" s="20" t="s">
        <v>34</v>
      </c>
      <c r="F167" s="19">
        <f t="shared" si="71"/>
        <v>0</v>
      </c>
      <c r="G167" s="9">
        <v>32339</v>
      </c>
      <c r="H167" s="9">
        <f t="shared" ref="H167:H172" si="75">H137+H107+H77+H47+H15</f>
        <v>357</v>
      </c>
      <c r="I167" s="3">
        <v>0</v>
      </c>
      <c r="J167" s="9">
        <f t="shared" si="67"/>
        <v>357</v>
      </c>
      <c r="K167" s="9">
        <f t="shared" si="72"/>
        <v>0</v>
      </c>
      <c r="L167" s="29">
        <f t="shared" si="68"/>
        <v>357</v>
      </c>
      <c r="M167" s="50">
        <v>0</v>
      </c>
      <c r="N167" s="27">
        <f t="shared" si="69"/>
        <v>357</v>
      </c>
      <c r="O167" s="3">
        <v>0</v>
      </c>
      <c r="P167" s="114">
        <f t="shared" si="73"/>
        <v>230000</v>
      </c>
      <c r="Q167" s="114">
        <f t="shared" si="73"/>
        <v>0</v>
      </c>
      <c r="R167" s="114">
        <f t="shared" si="73"/>
        <v>50000</v>
      </c>
      <c r="S167" s="114">
        <f t="shared" si="73"/>
        <v>0</v>
      </c>
      <c r="T167" s="276">
        <f t="shared" si="73"/>
        <v>4633</v>
      </c>
      <c r="U167" s="276">
        <v>0</v>
      </c>
      <c r="V167" s="276">
        <f t="shared" si="74"/>
        <v>4633</v>
      </c>
    </row>
    <row r="168" spans="1:22" x14ac:dyDescent="0.25">
      <c r="A168" s="103">
        <v>165</v>
      </c>
      <c r="B168" s="102"/>
      <c r="C168" s="3"/>
      <c r="D168" s="3"/>
      <c r="E168" s="20" t="s">
        <v>35</v>
      </c>
      <c r="F168" s="19">
        <f t="shared" si="71"/>
        <v>0</v>
      </c>
      <c r="G168" s="9">
        <v>275</v>
      </c>
      <c r="H168" s="9">
        <f t="shared" si="75"/>
        <v>0</v>
      </c>
      <c r="I168" s="3">
        <v>0</v>
      </c>
      <c r="J168" s="9">
        <f t="shared" si="67"/>
        <v>0</v>
      </c>
      <c r="K168" s="3">
        <f t="shared" si="72"/>
        <v>0</v>
      </c>
      <c r="L168" s="29">
        <f t="shared" si="68"/>
        <v>0</v>
      </c>
      <c r="M168" s="50">
        <v>0</v>
      </c>
      <c r="N168" s="94">
        <v>0</v>
      </c>
      <c r="O168" s="3">
        <v>0</v>
      </c>
      <c r="P168" s="114">
        <f t="shared" si="73"/>
        <v>0</v>
      </c>
      <c r="Q168" s="114">
        <f t="shared" si="73"/>
        <v>0</v>
      </c>
      <c r="R168" s="114">
        <f t="shared" si="73"/>
        <v>0</v>
      </c>
      <c r="S168" s="114">
        <f t="shared" si="73"/>
        <v>3699</v>
      </c>
      <c r="T168" s="276">
        <f t="shared" si="73"/>
        <v>327</v>
      </c>
      <c r="U168" s="276">
        <v>0</v>
      </c>
      <c r="V168" s="276">
        <f t="shared" si="74"/>
        <v>327</v>
      </c>
    </row>
    <row r="169" spans="1:22" x14ac:dyDescent="0.25">
      <c r="A169" s="103">
        <v>166</v>
      </c>
      <c r="B169" s="102"/>
      <c r="C169" s="3"/>
      <c r="D169" s="3" t="s">
        <v>47</v>
      </c>
      <c r="E169" s="21"/>
      <c r="F169" s="9">
        <f t="shared" si="71"/>
        <v>0</v>
      </c>
      <c r="G169" s="9">
        <v>0</v>
      </c>
      <c r="H169" s="9">
        <f t="shared" si="75"/>
        <v>0</v>
      </c>
      <c r="I169" s="3">
        <v>0</v>
      </c>
      <c r="J169" s="9">
        <f t="shared" si="67"/>
        <v>0</v>
      </c>
      <c r="K169" s="3">
        <v>0</v>
      </c>
      <c r="L169" s="29">
        <f t="shared" si="68"/>
        <v>0</v>
      </c>
      <c r="M169" s="50">
        <v>0</v>
      </c>
      <c r="N169" s="94">
        <v>0</v>
      </c>
      <c r="O169" s="3">
        <v>0</v>
      </c>
      <c r="P169" s="114">
        <f t="shared" si="73"/>
        <v>0</v>
      </c>
      <c r="Q169" s="114">
        <f t="shared" si="73"/>
        <v>0</v>
      </c>
      <c r="R169" s="114">
        <f t="shared" si="73"/>
        <v>0</v>
      </c>
      <c r="S169" s="114">
        <f t="shared" si="73"/>
        <v>16000</v>
      </c>
      <c r="T169" s="276">
        <f t="shared" si="73"/>
        <v>16000</v>
      </c>
      <c r="U169" s="276">
        <v>0</v>
      </c>
      <c r="V169" s="276">
        <f t="shared" si="74"/>
        <v>16000</v>
      </c>
    </row>
    <row r="170" spans="1:22" x14ac:dyDescent="0.25">
      <c r="A170" s="24">
        <v>167</v>
      </c>
      <c r="B170" s="102"/>
      <c r="C170" s="3"/>
      <c r="D170" s="3" t="s">
        <v>37</v>
      </c>
      <c r="E170" s="21"/>
      <c r="F170" s="9">
        <f t="shared" si="71"/>
        <v>83490</v>
      </c>
      <c r="G170" s="9">
        <v>962901</v>
      </c>
      <c r="H170" s="9">
        <f t="shared" si="75"/>
        <v>106470</v>
      </c>
      <c r="I170" s="9">
        <v>166506</v>
      </c>
      <c r="J170" s="9">
        <f t="shared" si="67"/>
        <v>272976</v>
      </c>
      <c r="K170" s="9">
        <f>K140+K110+K80+K50+K18</f>
        <v>40174</v>
      </c>
      <c r="L170" s="29">
        <f t="shared" si="68"/>
        <v>313150</v>
      </c>
      <c r="M170" s="10">
        <f>M110+M50+M18</f>
        <v>33529</v>
      </c>
      <c r="N170" s="27">
        <f>N140+N110+N80+N50+N18</f>
        <v>346679</v>
      </c>
      <c r="O170" s="9">
        <f>O140+O110+O80+O48+O18</f>
        <v>287201</v>
      </c>
      <c r="P170" s="114">
        <f t="shared" si="73"/>
        <v>322179</v>
      </c>
      <c r="Q170" s="114">
        <f t="shared" si="73"/>
        <v>310289</v>
      </c>
      <c r="R170" s="114">
        <f t="shared" si="73"/>
        <v>118178</v>
      </c>
      <c r="S170" s="114">
        <f t="shared" si="73"/>
        <v>123813</v>
      </c>
      <c r="T170" s="276">
        <f t="shared" si="73"/>
        <v>143353</v>
      </c>
      <c r="U170" s="276">
        <f>U110+U50+U18+U80+U140</f>
        <v>202531</v>
      </c>
      <c r="V170" s="276">
        <f t="shared" si="74"/>
        <v>345884</v>
      </c>
    </row>
    <row r="171" spans="1:22" x14ac:dyDescent="0.25">
      <c r="A171" s="103">
        <v>168</v>
      </c>
      <c r="B171" s="102"/>
      <c r="C171" s="3" t="s">
        <v>38</v>
      </c>
      <c r="D171" s="3"/>
      <c r="E171" s="21"/>
      <c r="F171" s="9">
        <f t="shared" si="71"/>
        <v>339948</v>
      </c>
      <c r="G171" s="9">
        <v>442456</v>
      </c>
      <c r="H171" s="9">
        <f t="shared" si="75"/>
        <v>488190</v>
      </c>
      <c r="I171" s="9">
        <f>I141+I111+I81+I51+I19</f>
        <v>5019</v>
      </c>
      <c r="J171" s="9">
        <f>J141+J111+J81+J51+J19</f>
        <v>493209</v>
      </c>
      <c r="K171" s="9">
        <f>K19</f>
        <v>118433</v>
      </c>
      <c r="L171" s="29">
        <f t="shared" si="68"/>
        <v>611642</v>
      </c>
      <c r="M171" s="10">
        <f>M19</f>
        <v>46000</v>
      </c>
      <c r="N171" s="27">
        <f>N141+N111+N51+N19</f>
        <v>657642</v>
      </c>
      <c r="O171" s="9">
        <f>O141+O111+O81+O51+O19</f>
        <v>532113</v>
      </c>
      <c r="P171" s="114">
        <f t="shared" si="73"/>
        <v>495737</v>
      </c>
      <c r="Q171" s="114">
        <f t="shared" si="73"/>
        <v>558135</v>
      </c>
      <c r="R171" s="114">
        <f t="shared" si="73"/>
        <v>821690</v>
      </c>
      <c r="S171" s="114">
        <f t="shared" si="73"/>
        <v>735184</v>
      </c>
      <c r="T171" s="276">
        <f t="shared" si="73"/>
        <v>728591</v>
      </c>
      <c r="U171" s="276">
        <f>U19+U51+U81+U111+U141</f>
        <v>36445</v>
      </c>
      <c r="V171" s="276">
        <f t="shared" si="74"/>
        <v>765036</v>
      </c>
    </row>
    <row r="172" spans="1:22" x14ac:dyDescent="0.25">
      <c r="A172" s="103">
        <v>169</v>
      </c>
      <c r="B172" s="102"/>
      <c r="C172" s="3" t="s">
        <v>39</v>
      </c>
      <c r="D172" s="3"/>
      <c r="E172" s="21"/>
      <c r="F172" s="9">
        <f t="shared" si="71"/>
        <v>0</v>
      </c>
      <c r="G172" s="9">
        <v>119955</v>
      </c>
      <c r="H172" s="9">
        <f t="shared" si="75"/>
        <v>0</v>
      </c>
      <c r="I172" s="3">
        <v>0</v>
      </c>
      <c r="J172" s="9">
        <f t="shared" si="67"/>
        <v>0</v>
      </c>
      <c r="K172" s="40">
        <f>K20</f>
        <v>0</v>
      </c>
      <c r="L172" s="83">
        <f t="shared" si="68"/>
        <v>0</v>
      </c>
      <c r="M172" s="50">
        <v>0</v>
      </c>
      <c r="N172" s="94">
        <v>0</v>
      </c>
      <c r="O172" s="9">
        <f>O20</f>
        <v>9200</v>
      </c>
      <c r="P172" s="114">
        <f t="shared" si="73"/>
        <v>0</v>
      </c>
      <c r="Q172" s="114">
        <f t="shared" si="73"/>
        <v>0</v>
      </c>
      <c r="R172" s="114">
        <f t="shared" si="73"/>
        <v>0</v>
      </c>
      <c r="S172" s="114">
        <f t="shared" si="73"/>
        <v>0</v>
      </c>
      <c r="T172" s="276">
        <f t="shared" si="73"/>
        <v>100000</v>
      </c>
      <c r="U172" s="276">
        <v>0</v>
      </c>
      <c r="V172" s="276">
        <f t="shared" si="74"/>
        <v>100000</v>
      </c>
    </row>
    <row r="173" spans="1:22" x14ac:dyDescent="0.25">
      <c r="A173" s="24">
        <v>170</v>
      </c>
      <c r="B173" s="102"/>
      <c r="C173" s="3" t="s">
        <v>304</v>
      </c>
      <c r="D173" s="3"/>
      <c r="E173" s="21"/>
      <c r="F173" s="9"/>
      <c r="G173" s="9"/>
      <c r="H173" s="9"/>
      <c r="I173" s="3"/>
      <c r="J173" s="9"/>
      <c r="K173" s="40"/>
      <c r="L173" s="83"/>
      <c r="M173" s="94"/>
      <c r="N173" s="94"/>
      <c r="O173" s="9">
        <f t="shared" ref="O173:S173" si="76">SUM(O174:O177)</f>
        <v>1741000</v>
      </c>
      <c r="P173" s="123">
        <f t="shared" si="76"/>
        <v>1057000</v>
      </c>
      <c r="Q173" s="123">
        <f t="shared" si="76"/>
        <v>1567000</v>
      </c>
      <c r="R173" s="123">
        <f t="shared" si="76"/>
        <v>1974000</v>
      </c>
      <c r="S173" s="123">
        <f t="shared" si="76"/>
        <v>2316000</v>
      </c>
      <c r="T173" s="270">
        <f>SUM(T174:T177)</f>
        <v>2444000</v>
      </c>
      <c r="U173" s="270">
        <f>SUM(U174:U177)</f>
        <v>0</v>
      </c>
      <c r="V173" s="270">
        <f t="shared" ref="V173" si="77">SUM(V174:V177)</f>
        <v>2444000</v>
      </c>
    </row>
    <row r="174" spans="1:22" x14ac:dyDescent="0.25">
      <c r="A174" s="103">
        <v>171</v>
      </c>
      <c r="B174" s="102"/>
      <c r="C174" s="3"/>
      <c r="D174" s="3" t="s">
        <v>306</v>
      </c>
      <c r="E174" s="21"/>
      <c r="F174" s="9"/>
      <c r="G174" s="9"/>
      <c r="H174" s="9"/>
      <c r="I174" s="3"/>
      <c r="J174" s="9"/>
      <c r="K174" s="40"/>
      <c r="L174" s="83"/>
      <c r="M174" s="94"/>
      <c r="N174" s="94"/>
      <c r="O174" s="9">
        <f t="shared" ref="O174:T177" si="78">SUM(O22,O54,O84,O114,O144)</f>
        <v>0</v>
      </c>
      <c r="P174" s="114">
        <f t="shared" si="78"/>
        <v>0</v>
      </c>
      <c r="Q174" s="114">
        <f t="shared" si="78"/>
        <v>0</v>
      </c>
      <c r="R174" s="114">
        <f t="shared" si="78"/>
        <v>0</v>
      </c>
      <c r="S174" s="114">
        <f t="shared" si="78"/>
        <v>0</v>
      </c>
      <c r="T174" s="276">
        <f t="shared" si="78"/>
        <v>0</v>
      </c>
      <c r="U174" s="276">
        <v>0</v>
      </c>
      <c r="V174" s="276">
        <f t="shared" si="74"/>
        <v>0</v>
      </c>
    </row>
    <row r="175" spans="1:22" x14ac:dyDescent="0.25">
      <c r="A175" s="103">
        <v>172</v>
      </c>
      <c r="B175" s="102"/>
      <c r="C175" s="3"/>
      <c r="D175" s="3" t="s">
        <v>305</v>
      </c>
      <c r="E175" s="21"/>
      <c r="F175" s="9"/>
      <c r="G175" s="9"/>
      <c r="H175" s="9"/>
      <c r="I175" s="3"/>
      <c r="J175" s="9"/>
      <c r="K175" s="40"/>
      <c r="L175" s="83"/>
      <c r="M175" s="94"/>
      <c r="N175" s="94"/>
      <c r="O175" s="9">
        <f t="shared" si="78"/>
        <v>516000</v>
      </c>
      <c r="P175" s="114">
        <f t="shared" si="78"/>
        <v>280000</v>
      </c>
      <c r="Q175" s="114">
        <f t="shared" si="78"/>
        <v>360000</v>
      </c>
      <c r="R175" s="114">
        <f t="shared" si="78"/>
        <v>395000</v>
      </c>
      <c r="S175" s="114">
        <f t="shared" si="78"/>
        <v>400000</v>
      </c>
      <c r="T175" s="276">
        <f t="shared" si="78"/>
        <v>405000</v>
      </c>
      <c r="U175" s="276">
        <v>0</v>
      </c>
      <c r="V175" s="276">
        <f t="shared" si="74"/>
        <v>405000</v>
      </c>
    </row>
    <row r="176" spans="1:22" x14ac:dyDescent="0.25">
      <c r="A176" s="24">
        <v>173</v>
      </c>
      <c r="B176" s="102"/>
      <c r="C176" s="3"/>
      <c r="D176" s="3" t="s">
        <v>307</v>
      </c>
      <c r="E176" s="21"/>
      <c r="F176" s="9"/>
      <c r="G176" s="9"/>
      <c r="H176" s="9"/>
      <c r="I176" s="3"/>
      <c r="J176" s="9"/>
      <c r="K176" s="40"/>
      <c r="L176" s="83"/>
      <c r="M176" s="94"/>
      <c r="N176" s="94"/>
      <c r="O176" s="9">
        <f t="shared" si="78"/>
        <v>1223000</v>
      </c>
      <c r="P176" s="114">
        <f t="shared" si="78"/>
        <v>775000</v>
      </c>
      <c r="Q176" s="114">
        <f t="shared" si="78"/>
        <v>1205000</v>
      </c>
      <c r="R176" s="114">
        <f t="shared" si="78"/>
        <v>1575000</v>
      </c>
      <c r="S176" s="114">
        <f t="shared" si="78"/>
        <v>1910000</v>
      </c>
      <c r="T176" s="276">
        <f t="shared" si="78"/>
        <v>2035000</v>
      </c>
      <c r="U176" s="276">
        <v>0</v>
      </c>
      <c r="V176" s="276">
        <f t="shared" si="74"/>
        <v>2035000</v>
      </c>
    </row>
    <row r="177" spans="1:22" x14ac:dyDescent="0.25">
      <c r="A177" s="103">
        <v>174</v>
      </c>
      <c r="B177" s="102"/>
      <c r="C177" s="3"/>
      <c r="D177" s="3" t="s">
        <v>308</v>
      </c>
      <c r="E177" s="21"/>
      <c r="F177" s="9"/>
      <c r="G177" s="9"/>
      <c r="H177" s="9"/>
      <c r="I177" s="3"/>
      <c r="J177" s="9"/>
      <c r="K177" s="40"/>
      <c r="L177" s="83"/>
      <c r="M177" s="94"/>
      <c r="N177" s="94"/>
      <c r="O177" s="9">
        <f t="shared" si="78"/>
        <v>2000</v>
      </c>
      <c r="P177" s="114">
        <f t="shared" si="78"/>
        <v>2000</v>
      </c>
      <c r="Q177" s="114">
        <f t="shared" si="78"/>
        <v>2000</v>
      </c>
      <c r="R177" s="114">
        <f t="shared" si="78"/>
        <v>4000</v>
      </c>
      <c r="S177" s="114">
        <f t="shared" si="78"/>
        <v>6000</v>
      </c>
      <c r="T177" s="276">
        <f t="shared" si="78"/>
        <v>4000</v>
      </c>
      <c r="U177" s="276">
        <v>0</v>
      </c>
      <c r="V177" s="276">
        <f t="shared" si="74"/>
        <v>4000</v>
      </c>
    </row>
    <row r="178" spans="1:22" x14ac:dyDescent="0.25">
      <c r="A178" s="103">
        <v>175</v>
      </c>
      <c r="B178" s="101" t="s">
        <v>40</v>
      </c>
      <c r="C178" s="16"/>
      <c r="D178" s="16"/>
      <c r="E178" s="17"/>
      <c r="F178" s="11">
        <f t="shared" ref="F178:M178" si="79">SUM(F179:F183)</f>
        <v>5000</v>
      </c>
      <c r="G178" s="11">
        <f t="shared" si="79"/>
        <v>2065997</v>
      </c>
      <c r="H178" s="11">
        <f t="shared" si="79"/>
        <v>105000</v>
      </c>
      <c r="I178" s="11">
        <f t="shared" si="79"/>
        <v>4000</v>
      </c>
      <c r="J178" s="11">
        <f t="shared" si="79"/>
        <v>109000</v>
      </c>
      <c r="K178" s="11">
        <f t="shared" si="79"/>
        <v>0</v>
      </c>
      <c r="L178" s="31">
        <f t="shared" si="79"/>
        <v>109000</v>
      </c>
      <c r="M178" s="88">
        <f t="shared" si="79"/>
        <v>150000</v>
      </c>
      <c r="N178" s="88">
        <f>N26</f>
        <v>259000</v>
      </c>
      <c r="O178" s="11">
        <f t="shared" ref="O178:S178" si="80">SUM(O179:O183)</f>
        <v>255259</v>
      </c>
      <c r="P178" s="126">
        <f t="shared" si="80"/>
        <v>109165</v>
      </c>
      <c r="Q178" s="126">
        <f t="shared" si="80"/>
        <v>8057163</v>
      </c>
      <c r="R178" s="126">
        <f t="shared" si="80"/>
        <v>3509130</v>
      </c>
      <c r="S178" s="126">
        <f t="shared" si="80"/>
        <v>2760939</v>
      </c>
      <c r="T178" s="277">
        <f>SUM(T179:T183)</f>
        <v>1052972</v>
      </c>
      <c r="U178" s="277">
        <f t="shared" ref="U178:V178" si="81">SUM(U179:U183)</f>
        <v>274116</v>
      </c>
      <c r="V178" s="277">
        <f t="shared" si="81"/>
        <v>1327088</v>
      </c>
    </row>
    <row r="179" spans="1:22" x14ac:dyDescent="0.25">
      <c r="A179" s="24">
        <v>176</v>
      </c>
      <c r="B179" s="102"/>
      <c r="C179" s="3" t="s">
        <v>41</v>
      </c>
      <c r="D179" s="3"/>
      <c r="E179" s="7"/>
      <c r="F179" s="9">
        <f>SUM(F149,F119,F89,F59,F27)</f>
        <v>0</v>
      </c>
      <c r="G179" s="9">
        <v>448150</v>
      </c>
      <c r="H179" s="9">
        <f>H149+H119+H89+H59+H27</f>
        <v>0</v>
      </c>
      <c r="I179" s="3">
        <v>0</v>
      </c>
      <c r="J179" s="9">
        <f t="shared" ref="J179:J183" si="82">I179+H179</f>
        <v>0</v>
      </c>
      <c r="K179" s="3">
        <v>0</v>
      </c>
      <c r="L179" s="29">
        <f t="shared" ref="L179:L183" si="83">K179+J179</f>
        <v>0</v>
      </c>
      <c r="M179" s="50">
        <v>0</v>
      </c>
      <c r="N179" s="94">
        <v>0</v>
      </c>
      <c r="O179" s="3">
        <v>0</v>
      </c>
      <c r="P179" s="114">
        <f>SUM(P27,P59,P89,P119,P149)</f>
        <v>0</v>
      </c>
      <c r="Q179" s="114">
        <f>SUM(Q27,Q59,Q89,Q119,Q149)</f>
        <v>0</v>
      </c>
      <c r="R179" s="114">
        <f>SUM(R27,R59,R89,R119,R149)</f>
        <v>0</v>
      </c>
      <c r="S179" s="114">
        <f>SUM(S27,S59,S89,S119,S149)</f>
        <v>0</v>
      </c>
      <c r="T179" s="276">
        <f>SUM(T27,T59,T89,T119,T149)</f>
        <v>0</v>
      </c>
      <c r="U179" s="276">
        <v>0</v>
      </c>
      <c r="V179" s="276">
        <f t="shared" si="74"/>
        <v>0</v>
      </c>
    </row>
    <row r="180" spans="1:22" x14ac:dyDescent="0.25">
      <c r="A180" s="103">
        <v>177</v>
      </c>
      <c r="B180" s="102"/>
      <c r="C180" s="3" t="s">
        <v>94</v>
      </c>
      <c r="D180" s="3"/>
      <c r="E180" s="7"/>
      <c r="F180" s="9">
        <f>SUM(F150,F120,F90,F60,F28)</f>
        <v>0</v>
      </c>
      <c r="G180" s="9">
        <v>0</v>
      </c>
      <c r="H180" s="9">
        <f>H28</f>
        <v>0</v>
      </c>
      <c r="I180" s="3">
        <v>0</v>
      </c>
      <c r="J180" s="9">
        <f t="shared" si="82"/>
        <v>0</v>
      </c>
      <c r="K180" s="3">
        <v>0</v>
      </c>
      <c r="L180" s="29">
        <f t="shared" si="83"/>
        <v>0</v>
      </c>
      <c r="M180" s="50">
        <v>0</v>
      </c>
      <c r="N180" s="94">
        <v>0</v>
      </c>
      <c r="O180" s="3">
        <v>0</v>
      </c>
      <c r="P180" s="114">
        <f>SUM(P28)</f>
        <v>0</v>
      </c>
      <c r="Q180" s="114">
        <f>SUM(Q28)</f>
        <v>0</v>
      </c>
      <c r="R180" s="114">
        <f>SUM(R28)</f>
        <v>0</v>
      </c>
      <c r="S180" s="114">
        <f>SUM(S28)</f>
        <v>0</v>
      </c>
      <c r="T180" s="276">
        <f>SUM(T28)</f>
        <v>0</v>
      </c>
      <c r="U180" s="276">
        <v>0</v>
      </c>
      <c r="V180" s="276">
        <f t="shared" si="74"/>
        <v>0</v>
      </c>
    </row>
    <row r="181" spans="1:22" x14ac:dyDescent="0.25">
      <c r="A181" s="103">
        <v>178</v>
      </c>
      <c r="B181" s="102"/>
      <c r="C181" s="3" t="s">
        <v>42</v>
      </c>
      <c r="D181" s="3"/>
      <c r="E181" s="7"/>
      <c r="F181" s="9">
        <f>SUM(F150,F120,F90,F60,F29)</f>
        <v>0</v>
      </c>
      <c r="G181" s="9">
        <v>1533274</v>
      </c>
      <c r="H181" s="9">
        <f>H150+H120+H90+H60+H29</f>
        <v>0</v>
      </c>
      <c r="I181" s="3">
        <v>4000</v>
      </c>
      <c r="J181" s="9">
        <f t="shared" si="82"/>
        <v>4000</v>
      </c>
      <c r="K181" s="3">
        <v>0</v>
      </c>
      <c r="L181" s="29">
        <f t="shared" si="83"/>
        <v>4000</v>
      </c>
      <c r="M181" s="50">
        <v>0</v>
      </c>
      <c r="N181" s="27">
        <v>4000</v>
      </c>
      <c r="O181" s="9">
        <f>O29</f>
        <v>59999</v>
      </c>
      <c r="P181" s="114">
        <f t="shared" ref="P181:T183" si="84">SUM(P29,P60,P90,P120,P150)</f>
        <v>35005</v>
      </c>
      <c r="Q181" s="114">
        <f t="shared" si="84"/>
        <v>7864736</v>
      </c>
      <c r="R181" s="114">
        <f t="shared" si="84"/>
        <v>3117203</v>
      </c>
      <c r="S181" s="114">
        <f t="shared" si="84"/>
        <v>2530054</v>
      </c>
      <c r="T181" s="276">
        <f t="shared" si="84"/>
        <v>704629</v>
      </c>
      <c r="U181" s="276">
        <f>SUM(U150,U120,U90,U60,U29)</f>
        <v>273793</v>
      </c>
      <c r="V181" s="276">
        <f t="shared" si="74"/>
        <v>978422</v>
      </c>
    </row>
    <row r="182" spans="1:22" x14ac:dyDescent="0.25">
      <c r="A182" s="24">
        <v>179</v>
      </c>
      <c r="B182" s="102"/>
      <c r="C182" s="3" t="s">
        <v>44</v>
      </c>
      <c r="D182" s="3"/>
      <c r="E182" s="7"/>
      <c r="F182" s="9">
        <f>SUM(F151,F121,F91,F61,F30)</f>
        <v>5000</v>
      </c>
      <c r="G182" s="9">
        <v>48320</v>
      </c>
      <c r="H182" s="9">
        <f>H151+H121+H91+H61+H30</f>
        <v>105000</v>
      </c>
      <c r="I182" s="3">
        <v>0</v>
      </c>
      <c r="J182" s="9">
        <f t="shared" si="82"/>
        <v>105000</v>
      </c>
      <c r="K182" s="3">
        <v>0</v>
      </c>
      <c r="L182" s="29">
        <f t="shared" si="83"/>
        <v>105000</v>
      </c>
      <c r="M182" s="50">
        <v>0</v>
      </c>
      <c r="N182" s="27">
        <v>105000</v>
      </c>
      <c r="O182" s="9">
        <f>O30</f>
        <v>195260</v>
      </c>
      <c r="P182" s="114">
        <f t="shared" si="84"/>
        <v>74000</v>
      </c>
      <c r="Q182" s="114">
        <f t="shared" si="84"/>
        <v>178300</v>
      </c>
      <c r="R182" s="114">
        <f t="shared" si="84"/>
        <v>366800</v>
      </c>
      <c r="S182" s="114">
        <f t="shared" si="84"/>
        <v>157407</v>
      </c>
      <c r="T182" s="276">
        <f t="shared" si="84"/>
        <v>272390</v>
      </c>
      <c r="U182" s="276">
        <f>SUM(U61,U91,U121,U151,U30)</f>
        <v>323</v>
      </c>
      <c r="V182" s="276">
        <f t="shared" si="74"/>
        <v>272713</v>
      </c>
    </row>
    <row r="183" spans="1:22" x14ac:dyDescent="0.25">
      <c r="A183" s="103">
        <v>180</v>
      </c>
      <c r="B183" s="102"/>
      <c r="C183" s="3" t="s">
        <v>43</v>
      </c>
      <c r="D183" s="3"/>
      <c r="E183" s="7"/>
      <c r="F183" s="9">
        <f>SUM(F152,F122,F92,F62,F31)</f>
        <v>0</v>
      </c>
      <c r="G183" s="9">
        <v>36253</v>
      </c>
      <c r="H183" s="9">
        <f>H152+H122+H92+H62</f>
        <v>0</v>
      </c>
      <c r="I183" s="3">
        <v>0</v>
      </c>
      <c r="J183" s="9">
        <f t="shared" si="82"/>
        <v>0</v>
      </c>
      <c r="K183" s="3">
        <v>0</v>
      </c>
      <c r="L183" s="26">
        <f t="shared" si="83"/>
        <v>0</v>
      </c>
      <c r="M183" s="10">
        <f>M31</f>
        <v>150000</v>
      </c>
      <c r="N183" s="27">
        <v>150000</v>
      </c>
      <c r="O183" s="3">
        <v>0</v>
      </c>
      <c r="P183" s="114">
        <f t="shared" si="84"/>
        <v>160</v>
      </c>
      <c r="Q183" s="114">
        <f t="shared" si="84"/>
        <v>14127</v>
      </c>
      <c r="R183" s="114">
        <f t="shared" si="84"/>
        <v>25127</v>
      </c>
      <c r="S183" s="114">
        <f t="shared" si="84"/>
        <v>73478</v>
      </c>
      <c r="T183" s="276">
        <f t="shared" si="84"/>
        <v>75953</v>
      </c>
      <c r="U183" s="276">
        <f>U31</f>
        <v>0</v>
      </c>
      <c r="V183" s="276">
        <f t="shared" si="74"/>
        <v>75953</v>
      </c>
    </row>
    <row r="184" spans="1:22" x14ac:dyDescent="0.25">
      <c r="A184" s="103">
        <v>181</v>
      </c>
      <c r="B184" s="101" t="s">
        <v>45</v>
      </c>
      <c r="C184" s="16"/>
      <c r="D184" s="16"/>
      <c r="E184" s="17"/>
      <c r="F184" s="11">
        <f>+F185+F187+F188</f>
        <v>6248313</v>
      </c>
      <c r="G184" s="11">
        <f>+G185+G187+G188</f>
        <v>7348073</v>
      </c>
      <c r="H184" s="11">
        <f>H185+H187+H188</f>
        <v>5429503</v>
      </c>
      <c r="I184" s="11">
        <f>I185+I187+I188</f>
        <v>614942</v>
      </c>
      <c r="J184" s="11">
        <f>J185+J187+J188</f>
        <v>6044445</v>
      </c>
      <c r="K184" s="11">
        <f>K185+K187+K188</f>
        <v>29453</v>
      </c>
      <c r="L184" s="31">
        <f>L185+L187+L188</f>
        <v>6073898</v>
      </c>
      <c r="M184" s="88">
        <f t="shared" ref="M184:N184" si="85">M185+M187+M188</f>
        <v>46487</v>
      </c>
      <c r="N184" s="88">
        <f t="shared" si="85"/>
        <v>6120385</v>
      </c>
      <c r="O184" s="11">
        <f>O185+O187+O188</f>
        <v>3173510</v>
      </c>
      <c r="P184" s="126">
        <f>SUM(P185:P188)</f>
        <v>3160192</v>
      </c>
      <c r="Q184" s="126">
        <f>SUM(Q185:Q188)</f>
        <v>6130360</v>
      </c>
      <c r="R184" s="126">
        <f>SUM(R185:R188)</f>
        <v>5848121</v>
      </c>
      <c r="S184" s="126">
        <f>SUM(S185:S188)</f>
        <v>4091694</v>
      </c>
      <c r="T184" s="277">
        <f>SUM(T185:T188)</f>
        <v>3229254</v>
      </c>
      <c r="U184" s="277">
        <f t="shared" ref="U184:V184" si="86">SUM(U185:U188)</f>
        <v>20511</v>
      </c>
      <c r="V184" s="277">
        <f t="shared" si="86"/>
        <v>3249765</v>
      </c>
    </row>
    <row r="185" spans="1:22" x14ac:dyDescent="0.25">
      <c r="A185" s="24">
        <v>182</v>
      </c>
      <c r="B185" s="102"/>
      <c r="C185" s="3" t="s">
        <v>46</v>
      </c>
      <c r="D185" s="3"/>
      <c r="E185" s="7"/>
      <c r="F185" s="9">
        <f>SUM(F154,F124,F94,F64,F33)</f>
        <v>3648041</v>
      </c>
      <c r="G185" s="9">
        <f>SUM(G154,G124,G94,G64,G33)</f>
        <v>4272554</v>
      </c>
      <c r="H185" s="9">
        <f>SUM(H154,H124,H94,H64,H33)</f>
        <v>3761803</v>
      </c>
      <c r="I185" s="9">
        <v>597360</v>
      </c>
      <c r="J185" s="9">
        <f>I185+H185</f>
        <v>4359163</v>
      </c>
      <c r="K185" s="3">
        <v>0</v>
      </c>
      <c r="L185" s="29">
        <f>K185+J185</f>
        <v>4359163</v>
      </c>
      <c r="M185" s="50">
        <v>0</v>
      </c>
      <c r="N185" s="27">
        <v>4359163</v>
      </c>
      <c r="O185" s="9">
        <v>1882279</v>
      </c>
      <c r="P185" s="114">
        <f>SUM(P33,P64,P94,P124,P154)</f>
        <v>1834606</v>
      </c>
      <c r="Q185" s="114">
        <f>SUM(Q33,Q64,Q94,Q124,Q154)</f>
        <v>4605090</v>
      </c>
      <c r="R185" s="114">
        <f>SUM(R33,R64,R94,R124,R154)</f>
        <v>4014000</v>
      </c>
      <c r="S185" s="114">
        <f>SUM(S33,S64,S94,S124,S154)</f>
        <v>1945960</v>
      </c>
      <c r="T185" s="276">
        <f>SUM(T33,T64,T94,T124,T154)</f>
        <v>794500</v>
      </c>
      <c r="U185" s="276">
        <f>SUM(U154,U124,U94,U64,U33)</f>
        <v>26037</v>
      </c>
      <c r="V185" s="276">
        <f t="shared" si="74"/>
        <v>820537</v>
      </c>
    </row>
    <row r="186" spans="1:22" x14ac:dyDescent="0.25">
      <c r="A186" s="24"/>
      <c r="B186" s="102"/>
      <c r="C186" s="3" t="s">
        <v>393</v>
      </c>
      <c r="D186" s="3"/>
      <c r="E186" s="7"/>
      <c r="F186" s="9"/>
      <c r="G186" s="9"/>
      <c r="H186" s="9"/>
      <c r="I186" s="9"/>
      <c r="J186" s="9"/>
      <c r="K186" s="3"/>
      <c r="L186" s="29"/>
      <c r="M186" s="50"/>
      <c r="N186" s="27"/>
      <c r="O186" s="9"/>
      <c r="P186" s="114"/>
      <c r="Q186" s="114"/>
      <c r="R186" s="114"/>
      <c r="S186" s="114">
        <v>0</v>
      </c>
      <c r="T186" s="276">
        <v>0</v>
      </c>
      <c r="U186" s="276">
        <f>SUM(U34)</f>
        <v>3624</v>
      </c>
      <c r="V186" s="276">
        <f t="shared" si="74"/>
        <v>3624</v>
      </c>
    </row>
    <row r="187" spans="1:22" x14ac:dyDescent="0.25">
      <c r="A187" s="103">
        <v>183</v>
      </c>
      <c r="B187" s="102"/>
      <c r="C187" s="3" t="s">
        <v>391</v>
      </c>
      <c r="D187" s="3"/>
      <c r="E187" s="7"/>
      <c r="F187" s="9">
        <f>F155+F125+F95+F65</f>
        <v>1100272</v>
      </c>
      <c r="G187" s="9">
        <v>1179906</v>
      </c>
      <c r="H187" s="9">
        <f>H155+H125+H95+H65</f>
        <v>1272087</v>
      </c>
      <c r="I187" s="9">
        <v>17582</v>
      </c>
      <c r="J187" s="9">
        <f>I187+H187</f>
        <v>1289669</v>
      </c>
      <c r="K187" s="9">
        <f>K155+K125+K95+K65</f>
        <v>29453</v>
      </c>
      <c r="L187" s="29">
        <f>K187+J187</f>
        <v>1319122</v>
      </c>
      <c r="M187" s="10">
        <f>M155+M125+M95+M65</f>
        <v>46487</v>
      </c>
      <c r="N187" s="27">
        <f>N155+N125+N95+N65</f>
        <v>1365609</v>
      </c>
      <c r="O187" s="9">
        <f>O155+O125+O95+O65</f>
        <v>1291231</v>
      </c>
      <c r="P187" s="114">
        <f>SUM(P65,P95,P125,P155)</f>
        <v>1325586</v>
      </c>
      <c r="Q187" s="114">
        <f>SUM(Q65,Q95,Q125,Q155)</f>
        <v>1525270</v>
      </c>
      <c r="R187" s="114">
        <f>SUM(R65,R95,R125,R155)</f>
        <v>1834121</v>
      </c>
      <c r="S187" s="114">
        <f>SUM(S65,S95,S125,S155)</f>
        <v>2145734</v>
      </c>
      <c r="T187" s="276">
        <f>SUM(T65,T95,T125,T155)</f>
        <v>2434754</v>
      </c>
      <c r="U187" s="276">
        <f>U155+U125+U95+U65</f>
        <v>-9150</v>
      </c>
      <c r="V187" s="276">
        <f t="shared" si="74"/>
        <v>2425604</v>
      </c>
    </row>
    <row r="188" spans="1:22" x14ac:dyDescent="0.25">
      <c r="A188" s="103">
        <v>184</v>
      </c>
      <c r="B188" s="102"/>
      <c r="C188" s="3" t="s">
        <v>392</v>
      </c>
      <c r="D188" s="3"/>
      <c r="E188" s="7"/>
      <c r="F188" s="9">
        <f>F35</f>
        <v>1500000</v>
      </c>
      <c r="G188" s="9">
        <v>1895613</v>
      </c>
      <c r="H188" s="9">
        <f>H35</f>
        <v>395613</v>
      </c>
      <c r="I188" s="3">
        <v>0</v>
      </c>
      <c r="J188" s="9">
        <v>395613</v>
      </c>
      <c r="K188" s="3">
        <v>0</v>
      </c>
      <c r="L188" s="29">
        <f>K188+J188</f>
        <v>395613</v>
      </c>
      <c r="M188" s="50">
        <v>0</v>
      </c>
      <c r="N188" s="27">
        <v>395613</v>
      </c>
      <c r="O188" s="9">
        <v>0</v>
      </c>
      <c r="P188" s="114">
        <f>SUM(P35)</f>
        <v>0</v>
      </c>
      <c r="Q188" s="114">
        <f>SUM(Q35)</f>
        <v>0</v>
      </c>
      <c r="R188" s="114">
        <f>SUM(R35)</f>
        <v>0</v>
      </c>
      <c r="S188" s="114">
        <f>SUM(S35)</f>
        <v>0</v>
      </c>
      <c r="T188" s="276">
        <f>SUM(T35)</f>
        <v>0</v>
      </c>
      <c r="U188" s="276">
        <v>0</v>
      </c>
      <c r="V188" s="276">
        <f t="shared" si="74"/>
        <v>0</v>
      </c>
    </row>
    <row r="189" spans="1:22" x14ac:dyDescent="0.25">
      <c r="A189" s="24">
        <v>185</v>
      </c>
      <c r="B189" s="102"/>
      <c r="C189" s="3" t="s">
        <v>51</v>
      </c>
      <c r="D189" s="3"/>
      <c r="E189" s="7"/>
      <c r="F189" s="9">
        <v>1100272</v>
      </c>
      <c r="G189" s="9">
        <v>1179906</v>
      </c>
      <c r="H189" s="10">
        <v>1272087</v>
      </c>
      <c r="I189" s="9">
        <v>17582</v>
      </c>
      <c r="J189" s="9">
        <v>1289669</v>
      </c>
      <c r="K189" s="9">
        <v>29453</v>
      </c>
      <c r="L189" s="29">
        <f>K189+J189</f>
        <v>1319122</v>
      </c>
      <c r="M189" s="10">
        <v>46487</v>
      </c>
      <c r="N189" s="27">
        <v>1365609</v>
      </c>
      <c r="O189" s="9">
        <f>O187</f>
        <v>1291231</v>
      </c>
      <c r="P189" s="114">
        <v>1325586</v>
      </c>
      <c r="Q189" s="114">
        <v>1525270</v>
      </c>
      <c r="R189" s="114">
        <f>R187</f>
        <v>1834121</v>
      </c>
      <c r="S189" s="114">
        <f>S187</f>
        <v>2145734</v>
      </c>
      <c r="T189" s="276">
        <f>T187</f>
        <v>2434754</v>
      </c>
      <c r="U189" s="276">
        <f>U187</f>
        <v>-9150</v>
      </c>
      <c r="V189" s="276">
        <f t="shared" si="74"/>
        <v>2425604</v>
      </c>
    </row>
    <row r="190" spans="1:22" ht="27" customHeight="1" x14ac:dyDescent="0.25">
      <c r="A190" s="103">
        <v>186</v>
      </c>
      <c r="B190" s="101" t="s">
        <v>19</v>
      </c>
      <c r="C190" s="16"/>
      <c r="D190" s="16"/>
      <c r="E190" s="17"/>
      <c r="F190" s="11">
        <f>(+F184+F178+F160)-F189</f>
        <v>6276322</v>
      </c>
      <c r="G190" s="11">
        <f>(+G184+G178+G160)-G189</f>
        <v>10557765</v>
      </c>
      <c r="H190" s="11">
        <f>(+H184+H178+H160)-H189</f>
        <v>5620559</v>
      </c>
      <c r="I190" s="11">
        <f>(+I184+I178+I160)-I189</f>
        <v>793553</v>
      </c>
      <c r="J190" s="11">
        <v>8086694</v>
      </c>
      <c r="K190" s="11">
        <f>(+K184+K178+K160)-K189</f>
        <v>210060</v>
      </c>
      <c r="L190" s="31">
        <v>8296754</v>
      </c>
      <c r="M190" s="8">
        <f>(M184+M178+M160)-M189-17582</f>
        <v>220434</v>
      </c>
      <c r="N190" s="88">
        <f>(N184+N178+N160)-N189</f>
        <v>6862188</v>
      </c>
      <c r="O190" s="11">
        <f>(+O184+O178+O160)-O189</f>
        <v>5497662</v>
      </c>
      <c r="P190" s="111">
        <f>SUM(P184,P178,P160)-P189</f>
        <v>5318868</v>
      </c>
      <c r="Q190" s="111">
        <f>SUM(Q184,Q178,Q160)-Q189</f>
        <v>16526368</v>
      </c>
      <c r="R190" s="111">
        <f>SUM(R184,R178,R160)-R189</f>
        <v>12106839</v>
      </c>
      <c r="S190" s="111">
        <f>SUM(S184,S178,S160)-S189</f>
        <v>9741730</v>
      </c>
      <c r="T190" s="112">
        <f>SUM(T184,T178,T160)-T189</f>
        <v>7472143</v>
      </c>
      <c r="U190" s="112">
        <f>(U184+U178+U160)-U189</f>
        <v>556414</v>
      </c>
      <c r="V190" s="112">
        <f>(V184+V178+V160)-V189</f>
        <v>8028557</v>
      </c>
    </row>
    <row r="191" spans="1:22" ht="18" customHeight="1" x14ac:dyDescent="0.25">
      <c r="A191" s="3"/>
      <c r="B191" s="302"/>
      <c r="C191" s="302"/>
      <c r="D191" s="302"/>
      <c r="E191" s="302"/>
      <c r="F191" s="302"/>
      <c r="G191" s="302"/>
      <c r="H191" s="302"/>
      <c r="I191" s="302"/>
      <c r="J191" s="302"/>
      <c r="K191" s="302"/>
      <c r="L191" s="302"/>
      <c r="M191" s="93"/>
      <c r="N191" s="93"/>
      <c r="P191" s="41"/>
      <c r="Q191" s="41"/>
      <c r="R191" s="41"/>
      <c r="S191" s="41"/>
      <c r="T191" s="261"/>
      <c r="U191" s="287"/>
      <c r="V191" s="93"/>
    </row>
    <row r="193" spans="10:21" x14ac:dyDescent="0.25">
      <c r="M193" s="41"/>
      <c r="O193" t="s">
        <v>278</v>
      </c>
      <c r="P193" s="41">
        <f>P190-'Kiadások 2m'!O163</f>
        <v>0</v>
      </c>
      <c r="Q193" s="41">
        <f>Q190-'Kiadások 2m'!P163</f>
        <v>0</v>
      </c>
      <c r="R193" s="41">
        <f>R190-'Kiadások 2m'!Q163</f>
        <v>0</v>
      </c>
      <c r="S193" s="41">
        <f>S190-'Kiadások 2m'!R163</f>
        <v>0</v>
      </c>
      <c r="T193" s="41">
        <f>T190-'Kiadások 2m'!S163</f>
        <v>0</v>
      </c>
      <c r="U193" s="288"/>
    </row>
    <row r="194" spans="10:21" x14ac:dyDescent="0.25">
      <c r="M194" s="41"/>
      <c r="U194" s="288"/>
    </row>
    <row r="197" spans="10:21" x14ac:dyDescent="0.25">
      <c r="J197" s="41"/>
    </row>
  </sheetData>
  <mergeCells count="3">
    <mergeCell ref="B4:E4"/>
    <mergeCell ref="B191:L191"/>
    <mergeCell ref="A1:E1"/>
  </mergeCells>
  <phoneticPr fontId="14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8" fitToHeight="0" orientation="portrait" r:id="rId1"/>
  <headerFooter>
    <oddFooter>&amp;P. oldal</oddFooter>
  </headerFooter>
  <rowBreaks count="2" manualBreakCount="2">
    <brk id="66" max="21" man="1"/>
    <brk id="126" max="21" man="1"/>
  </rowBreaks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166"/>
  <sheetViews>
    <sheetView view="pageBreakPreview" zoomScale="90" zoomScaleNormal="115" zoomScaleSheetLayoutView="90" workbookViewId="0">
      <pane xSplit="4" ySplit="4" topLeftCell="R105" activePane="bottomRight" state="frozen"/>
      <selection activeCell="L31" sqref="L31"/>
      <selection pane="topRight" activeCell="L31" sqref="L31"/>
      <selection pane="bottomLeft" activeCell="L31" sqref="L31"/>
      <selection pane="bottomRight" sqref="A1:O1"/>
    </sheetView>
  </sheetViews>
  <sheetFormatPr defaultRowHeight="15" x14ac:dyDescent="0.25"/>
  <cols>
    <col min="2" max="2" width="5.42578125" customWidth="1"/>
    <col min="3" max="3" width="5.5703125" customWidth="1"/>
    <col min="4" max="4" width="77.5703125" customWidth="1"/>
    <col min="5" max="6" width="15.140625" hidden="1" customWidth="1"/>
    <col min="7" max="7" width="14.5703125" hidden="1" customWidth="1"/>
    <col min="8" max="8" width="15.140625" hidden="1" customWidth="1"/>
    <col min="9" max="9" width="15.42578125" hidden="1" customWidth="1"/>
    <col min="10" max="10" width="13.85546875" hidden="1" customWidth="1"/>
    <col min="11" max="11" width="15.42578125" hidden="1" customWidth="1"/>
    <col min="12" max="12" width="13.42578125" hidden="1" customWidth="1"/>
    <col min="13" max="13" width="14.5703125" hidden="1" customWidth="1"/>
    <col min="14" max="17" width="15.5703125" hidden="1" customWidth="1"/>
    <col min="18" max="21" width="15.5703125" customWidth="1"/>
  </cols>
  <sheetData>
    <row r="1" spans="1:21" x14ac:dyDescent="0.25">
      <c r="A1" s="307" t="s">
        <v>413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21" ht="15.75" x14ac:dyDescent="0.25">
      <c r="R2" s="162"/>
      <c r="S2" s="162"/>
      <c r="T2" s="162"/>
      <c r="U2" s="162" t="s">
        <v>56</v>
      </c>
    </row>
    <row r="3" spans="1:21" x14ac:dyDescent="0.25">
      <c r="A3" s="3"/>
      <c r="B3" s="104" t="s">
        <v>272</v>
      </c>
      <c r="C3" s="104" t="s">
        <v>273</v>
      </c>
      <c r="D3" s="104" t="s">
        <v>274</v>
      </c>
      <c r="E3" s="104"/>
      <c r="F3" s="104"/>
      <c r="G3" s="104"/>
      <c r="H3" s="104"/>
      <c r="I3" s="104"/>
      <c r="J3" s="104"/>
      <c r="K3" s="104"/>
      <c r="L3" s="104"/>
      <c r="M3" s="104"/>
      <c r="N3" s="104" t="s">
        <v>275</v>
      </c>
      <c r="O3" s="105" t="s">
        <v>275</v>
      </c>
      <c r="P3" s="105" t="s">
        <v>275</v>
      </c>
      <c r="Q3" s="105" t="s">
        <v>275</v>
      </c>
      <c r="R3" s="105" t="s">
        <v>275</v>
      </c>
      <c r="S3" s="105" t="s">
        <v>276</v>
      </c>
      <c r="T3" s="105" t="s">
        <v>277</v>
      </c>
      <c r="U3" s="105" t="s">
        <v>282</v>
      </c>
    </row>
    <row r="4" spans="1:21" ht="84.75" customHeight="1" x14ac:dyDescent="0.25">
      <c r="A4" s="103">
        <v>1</v>
      </c>
      <c r="B4" s="304" t="s">
        <v>23</v>
      </c>
      <c r="C4" s="305"/>
      <c r="D4" s="306"/>
      <c r="E4" s="106" t="s">
        <v>107</v>
      </c>
      <c r="F4" s="106" t="s">
        <v>113</v>
      </c>
      <c r="G4" s="107" t="s">
        <v>114</v>
      </c>
      <c r="H4" s="108" t="s">
        <v>111</v>
      </c>
      <c r="I4" s="106" t="s">
        <v>116</v>
      </c>
      <c r="J4" s="106" t="s">
        <v>111</v>
      </c>
      <c r="K4" s="109" t="s">
        <v>258</v>
      </c>
      <c r="L4" s="106" t="s">
        <v>111</v>
      </c>
      <c r="M4" s="109" t="s">
        <v>262</v>
      </c>
      <c r="N4" s="6" t="s">
        <v>309</v>
      </c>
      <c r="O4" s="6" t="s">
        <v>311</v>
      </c>
      <c r="P4" s="6" t="s">
        <v>327</v>
      </c>
      <c r="Q4" s="6" t="s">
        <v>343</v>
      </c>
      <c r="R4" s="6" t="s">
        <v>370</v>
      </c>
      <c r="S4" s="266" t="str">
        <f ca="1">S$4</f>
        <v>Előirányzat
2/2025. (II.20.) önkormányzati rendelet</v>
      </c>
      <c r="T4" s="266" t="s">
        <v>111</v>
      </c>
      <c r="U4" s="266" t="s">
        <v>384</v>
      </c>
    </row>
    <row r="5" spans="1:21" x14ac:dyDescent="0.25">
      <c r="A5" s="103">
        <v>2</v>
      </c>
      <c r="B5" s="16" t="s">
        <v>0</v>
      </c>
      <c r="C5" s="3"/>
      <c r="D5" s="3"/>
      <c r="E5" s="3" t="s">
        <v>24</v>
      </c>
      <c r="F5" s="3" t="s">
        <v>24</v>
      </c>
      <c r="G5" s="26" t="s">
        <v>24</v>
      </c>
      <c r="H5" s="26" t="s">
        <v>24</v>
      </c>
      <c r="I5" s="26" t="s">
        <v>24</v>
      </c>
      <c r="J5" s="26" t="s">
        <v>24</v>
      </c>
      <c r="K5" s="26" t="s">
        <v>24</v>
      </c>
      <c r="L5" s="3" t="s">
        <v>24</v>
      </c>
      <c r="M5" s="26" t="s">
        <v>24</v>
      </c>
      <c r="N5" s="3" t="s">
        <v>269</v>
      </c>
      <c r="O5" s="3" t="s">
        <v>269</v>
      </c>
      <c r="P5" s="3" t="s">
        <v>269</v>
      </c>
      <c r="Q5" s="3" t="s">
        <v>269</v>
      </c>
      <c r="R5" s="3" t="s">
        <v>269</v>
      </c>
      <c r="S5" s="3" t="s">
        <v>269</v>
      </c>
      <c r="T5" s="3" t="s">
        <v>269</v>
      </c>
      <c r="U5" s="3" t="s">
        <v>269</v>
      </c>
    </row>
    <row r="6" spans="1:21" x14ac:dyDescent="0.25">
      <c r="A6" s="103">
        <v>3</v>
      </c>
      <c r="B6" s="16" t="s">
        <v>25</v>
      </c>
      <c r="C6" s="3"/>
      <c r="D6" s="3"/>
      <c r="E6" s="3"/>
      <c r="F6" s="3"/>
      <c r="G6" s="26"/>
      <c r="H6" s="3"/>
      <c r="I6" s="3"/>
      <c r="J6" s="3"/>
      <c r="K6" s="26"/>
      <c r="L6" s="3"/>
      <c r="M6" s="26"/>
      <c r="N6" s="3"/>
      <c r="O6" s="9"/>
      <c r="P6" s="9"/>
      <c r="Q6" s="9"/>
      <c r="R6" s="9"/>
      <c r="S6" s="9"/>
      <c r="T6" s="9"/>
      <c r="U6" s="9"/>
    </row>
    <row r="7" spans="1:21" x14ac:dyDescent="0.25">
      <c r="A7" s="103">
        <v>4</v>
      </c>
      <c r="B7" s="16"/>
      <c r="C7" s="3" t="s">
        <v>26</v>
      </c>
      <c r="D7" s="3"/>
      <c r="E7" s="3"/>
      <c r="F7" s="3"/>
      <c r="G7" s="26"/>
      <c r="H7" s="3"/>
      <c r="I7" s="3"/>
      <c r="J7" s="3"/>
      <c r="K7" s="26"/>
      <c r="L7" s="3"/>
      <c r="M7" s="26"/>
      <c r="N7" s="3"/>
      <c r="O7" s="9"/>
      <c r="P7" s="9"/>
      <c r="Q7" s="9"/>
      <c r="R7" s="9"/>
      <c r="S7" s="9"/>
      <c r="T7" s="9"/>
      <c r="U7" s="9"/>
    </row>
    <row r="8" spans="1:21" s="1" customFormat="1" x14ac:dyDescent="0.25">
      <c r="A8" s="103">
        <v>5</v>
      </c>
      <c r="B8" s="16" t="s">
        <v>8</v>
      </c>
      <c r="C8" s="16"/>
      <c r="D8" s="16"/>
      <c r="E8" s="11">
        <f>SUM(E13,E12,E11,E10,E9)</f>
        <v>2112812</v>
      </c>
      <c r="F8" s="11">
        <f t="shared" ref="F8:J8" si="0">SUM(F13,F12,F11,F10,F9)</f>
        <v>4036905</v>
      </c>
      <c r="G8" s="11">
        <f t="shared" si="0"/>
        <v>1891307</v>
      </c>
      <c r="H8" s="11">
        <f t="shared" si="0"/>
        <v>1148822</v>
      </c>
      <c r="I8" s="11">
        <f t="shared" si="0"/>
        <v>3037043</v>
      </c>
      <c r="J8" s="11">
        <f t="shared" si="0"/>
        <v>218801</v>
      </c>
      <c r="K8" s="31">
        <f>SUM(K9:K13)</f>
        <v>3258930</v>
      </c>
      <c r="L8" s="31">
        <f t="shared" ref="L8:M8" si="1">SUM(L9:L13)</f>
        <v>-41065</v>
      </c>
      <c r="M8" s="31">
        <f t="shared" si="1"/>
        <v>3217865</v>
      </c>
      <c r="N8" s="11">
        <f>N9+N10+N11+N12+N13</f>
        <v>2467345</v>
      </c>
      <c r="O8" s="111">
        <f>SUM(O9:O13)</f>
        <v>2877984</v>
      </c>
      <c r="P8" s="111">
        <f>SUM(P9:P13)</f>
        <v>5349312</v>
      </c>
      <c r="Q8" s="111">
        <f>SUM(Q9:Q13)</f>
        <v>4957218</v>
      </c>
      <c r="R8" s="111">
        <f>SUM(R9:R13)</f>
        <v>3893461</v>
      </c>
      <c r="S8" s="112">
        <f>SUM(S9:S13)</f>
        <v>3895196</v>
      </c>
      <c r="T8" s="112">
        <f t="shared" ref="T8" si="2">SUM(T9:T13)</f>
        <v>259792</v>
      </c>
      <c r="U8" s="112">
        <f>SUM(U9:U13)</f>
        <v>4154988</v>
      </c>
    </row>
    <row r="9" spans="1:21" x14ac:dyDescent="0.25">
      <c r="A9" s="103">
        <v>6</v>
      </c>
      <c r="B9" s="3"/>
      <c r="C9" s="3" t="s">
        <v>2</v>
      </c>
      <c r="D9" s="3"/>
      <c r="E9" s="9">
        <v>275988</v>
      </c>
      <c r="F9" s="9">
        <v>726836</v>
      </c>
      <c r="G9" s="27">
        <v>158326</v>
      </c>
      <c r="H9" s="9">
        <v>242284</v>
      </c>
      <c r="I9" s="9">
        <f>H9+G9</f>
        <v>400610</v>
      </c>
      <c r="J9" s="9">
        <f>29000+1151+610+5587+559</f>
        <v>36907</v>
      </c>
      <c r="K9" s="84">
        <f>J9+I9</f>
        <v>437517</v>
      </c>
      <c r="L9" s="9">
        <f>738+260+1463+340+12066+6156-655+1505</f>
        <v>21873</v>
      </c>
      <c r="M9" s="29">
        <f>K9+L9</f>
        <v>459390</v>
      </c>
      <c r="N9" s="9">
        <v>238109</v>
      </c>
      <c r="O9" s="9">
        <v>259186</v>
      </c>
      <c r="P9" s="9">
        <v>156890</v>
      </c>
      <c r="Q9" s="9">
        <v>129001</v>
      </c>
      <c r="R9" s="9">
        <v>157575</v>
      </c>
      <c r="S9" s="269">
        <v>240848</v>
      </c>
      <c r="T9" s="269">
        <v>164055</v>
      </c>
      <c r="U9" s="269">
        <f>SUM(S9:T9)</f>
        <v>404903</v>
      </c>
    </row>
    <row r="10" spans="1:21" x14ac:dyDescent="0.25">
      <c r="A10" s="103">
        <v>7</v>
      </c>
      <c r="B10" s="3"/>
      <c r="C10" s="3" t="s">
        <v>1</v>
      </c>
      <c r="D10" s="3"/>
      <c r="E10" s="9">
        <v>18484</v>
      </c>
      <c r="F10" s="9">
        <v>75838</v>
      </c>
      <c r="G10">
        <v>20817</v>
      </c>
      <c r="H10" s="9">
        <v>25243</v>
      </c>
      <c r="I10" s="9">
        <f t="shared" ref="I10:I12" si="3">H10+G10</f>
        <v>46060</v>
      </c>
      <c r="J10" s="9">
        <f>3870+225+107+1090+98+7000</f>
        <v>12390</v>
      </c>
      <c r="K10" s="84">
        <f>J10+I10</f>
        <v>58450</v>
      </c>
      <c r="L10" s="9">
        <f>200+50+256+60+2112+1077-57</f>
        <v>3698</v>
      </c>
      <c r="M10" s="29">
        <f t="shared" ref="M10:M12" si="4">K10+L10</f>
        <v>62148</v>
      </c>
      <c r="N10" s="9">
        <v>41336</v>
      </c>
      <c r="O10" s="9">
        <v>42024</v>
      </c>
      <c r="P10" s="9">
        <v>20755</v>
      </c>
      <c r="Q10" s="9">
        <v>19315</v>
      </c>
      <c r="R10" s="9">
        <v>16374</v>
      </c>
      <c r="S10" s="269">
        <v>30056</v>
      </c>
      <c r="T10" s="269">
        <v>10918</v>
      </c>
      <c r="U10" s="269">
        <f t="shared" ref="U10:U12" si="5">SUM(S10:T10)</f>
        <v>40974</v>
      </c>
    </row>
    <row r="11" spans="1:21" x14ac:dyDescent="0.25">
      <c r="A11" s="103">
        <v>8</v>
      </c>
      <c r="B11" s="3"/>
      <c r="C11" s="3" t="s">
        <v>4</v>
      </c>
      <c r="D11" s="3"/>
      <c r="E11" s="9">
        <v>772214</v>
      </c>
      <c r="F11" s="9">
        <v>1932592</v>
      </c>
      <c r="G11" s="27">
        <v>783490</v>
      </c>
      <c r="H11" s="9">
        <v>369291</v>
      </c>
      <c r="I11" s="9">
        <v>1149695</v>
      </c>
      <c r="J11" s="9">
        <f>232019+32869+2165+585+2214+598+4504+4505+2432-91000-25000+76184+1263+3086-7000+20000+112420</f>
        <v>371844</v>
      </c>
      <c r="K11" s="84">
        <f>J11+I11+3086</f>
        <v>1524625</v>
      </c>
      <c r="L11" s="9">
        <f>240+387+46000+22542+4250+1148+5372+1451+30419+1519+3086</f>
        <v>116414</v>
      </c>
      <c r="M11" s="29">
        <f t="shared" si="4"/>
        <v>1641039</v>
      </c>
      <c r="N11" s="9">
        <v>1136420</v>
      </c>
      <c r="O11" s="9">
        <v>1055130</v>
      </c>
      <c r="P11" s="9">
        <v>3503374</v>
      </c>
      <c r="Q11" s="9">
        <v>3112642</v>
      </c>
      <c r="R11" s="9">
        <v>2198475</v>
      </c>
      <c r="S11" s="269">
        <v>1731587</v>
      </c>
      <c r="T11" s="269">
        <v>56245</v>
      </c>
      <c r="U11" s="269">
        <f t="shared" si="5"/>
        <v>1787832</v>
      </c>
    </row>
    <row r="12" spans="1:21" x14ac:dyDescent="0.25">
      <c r="A12" s="103">
        <v>9</v>
      </c>
      <c r="B12" s="3"/>
      <c r="C12" s="3" t="s">
        <v>3</v>
      </c>
      <c r="D12" s="3"/>
      <c r="E12" s="9">
        <v>129000</v>
      </c>
      <c r="F12" s="9">
        <v>125007</v>
      </c>
      <c r="G12" s="27">
        <v>108500</v>
      </c>
      <c r="H12" s="9">
        <v>24000</v>
      </c>
      <c r="I12" s="9">
        <f t="shared" si="3"/>
        <v>132500</v>
      </c>
      <c r="J12" s="9">
        <v>2724</v>
      </c>
      <c r="K12" s="84">
        <f>J12+I12</f>
        <v>135224</v>
      </c>
      <c r="L12" s="9">
        <v>0</v>
      </c>
      <c r="M12" s="29">
        <f t="shared" si="4"/>
        <v>135224</v>
      </c>
      <c r="N12" s="9">
        <v>149500</v>
      </c>
      <c r="O12" s="9">
        <v>113300</v>
      </c>
      <c r="P12" s="9">
        <v>185000</v>
      </c>
      <c r="Q12" s="9">
        <v>98650</v>
      </c>
      <c r="R12" s="9">
        <v>176650</v>
      </c>
      <c r="S12" s="269">
        <v>166650</v>
      </c>
      <c r="T12" s="269">
        <v>0</v>
      </c>
      <c r="U12" s="269">
        <f t="shared" si="5"/>
        <v>166650</v>
      </c>
    </row>
    <row r="13" spans="1:21" x14ac:dyDescent="0.25">
      <c r="A13" s="103">
        <v>10</v>
      </c>
      <c r="B13" s="3"/>
      <c r="C13" s="3" t="s">
        <v>5</v>
      </c>
      <c r="D13" s="3"/>
      <c r="E13" s="11">
        <f t="shared" ref="E13:M13" si="6">SUM(E14:E18)</f>
        <v>917126</v>
      </c>
      <c r="F13" s="11">
        <f t="shared" si="6"/>
        <v>1176632</v>
      </c>
      <c r="G13" s="11">
        <f t="shared" si="6"/>
        <v>820174</v>
      </c>
      <c r="H13" s="11">
        <f t="shared" si="6"/>
        <v>488004</v>
      </c>
      <c r="I13" s="11">
        <f t="shared" si="6"/>
        <v>1308178</v>
      </c>
      <c r="J13" s="11">
        <f t="shared" si="6"/>
        <v>-205064</v>
      </c>
      <c r="K13" s="31">
        <f t="shared" si="6"/>
        <v>1103114</v>
      </c>
      <c r="L13" s="31">
        <f t="shared" si="6"/>
        <v>-183050</v>
      </c>
      <c r="M13" s="31">
        <f t="shared" si="6"/>
        <v>920064</v>
      </c>
      <c r="N13" s="11">
        <f>N16+N17+N18</f>
        <v>901980</v>
      </c>
      <c r="O13" s="113">
        <f>SUM(O14:O18)</f>
        <v>1408344</v>
      </c>
      <c r="P13" s="113">
        <f>SUM(P14:P18)</f>
        <v>1483293</v>
      </c>
      <c r="Q13" s="113">
        <f>SUM(Q14:Q18)</f>
        <v>1597610</v>
      </c>
      <c r="R13" s="113">
        <f>SUM(R14:R18)</f>
        <v>1344387</v>
      </c>
      <c r="S13" s="271">
        <f>SUM(S14:S18)</f>
        <v>1726055</v>
      </c>
      <c r="T13" s="271">
        <f t="shared" ref="T13:U13" si="7">SUM(T14:T18)</f>
        <v>28574</v>
      </c>
      <c r="U13" s="271">
        <f t="shared" si="7"/>
        <v>1754629</v>
      </c>
    </row>
    <row r="14" spans="1:21" s="2" customFormat="1" x14ac:dyDescent="0.25">
      <c r="A14" s="103">
        <f>A13+1</f>
        <v>11</v>
      </c>
      <c r="B14" s="22"/>
      <c r="C14" s="22"/>
      <c r="D14" s="23" t="s">
        <v>20</v>
      </c>
      <c r="E14" s="19">
        <v>0</v>
      </c>
      <c r="F14" s="9">
        <v>990</v>
      </c>
      <c r="G14" s="28">
        <v>0</v>
      </c>
      <c r="H14" s="9">
        <v>0</v>
      </c>
      <c r="I14" s="11">
        <v>0</v>
      </c>
      <c r="J14" s="9">
        <v>174</v>
      </c>
      <c r="K14" s="84">
        <f>J14+I14</f>
        <v>174</v>
      </c>
      <c r="L14" s="9">
        <v>0</v>
      </c>
      <c r="M14" s="29">
        <v>174</v>
      </c>
      <c r="N14" s="9">
        <v>0</v>
      </c>
      <c r="O14" s="9">
        <v>202056</v>
      </c>
      <c r="P14" s="9">
        <v>179069</v>
      </c>
      <c r="Q14" s="9">
        <f>287594+1893</f>
        <v>289487</v>
      </c>
      <c r="R14" s="9">
        <v>408455</v>
      </c>
      <c r="S14" s="269">
        <v>510000</v>
      </c>
      <c r="T14" s="269">
        <v>14451</v>
      </c>
      <c r="U14" s="269">
        <f t="shared" ref="U14:U18" si="8">SUM(S14:T14)</f>
        <v>524451</v>
      </c>
    </row>
    <row r="15" spans="1:21" s="2" customFormat="1" x14ac:dyDescent="0.25">
      <c r="A15" s="103">
        <f t="shared" ref="A15:A78" si="9">A14+1</f>
        <v>12</v>
      </c>
      <c r="B15" s="22"/>
      <c r="C15" s="22"/>
      <c r="D15" s="22" t="s">
        <v>358</v>
      </c>
      <c r="E15" s="19"/>
      <c r="F15" s="9">
        <v>52944</v>
      </c>
      <c r="G15" s="27">
        <v>25000</v>
      </c>
      <c r="H15" s="9">
        <v>26174</v>
      </c>
      <c r="I15" s="9">
        <f>H15+G15</f>
        <v>51174</v>
      </c>
      <c r="J15" s="9">
        <v>1432</v>
      </c>
      <c r="K15" s="84">
        <f>J15+I15</f>
        <v>52606</v>
      </c>
      <c r="L15" s="9">
        <v>0</v>
      </c>
      <c r="M15" s="29">
        <v>52606</v>
      </c>
      <c r="N15" s="10">
        <v>0</v>
      </c>
      <c r="O15" s="9">
        <v>44077</v>
      </c>
      <c r="P15" s="9">
        <v>120090</v>
      </c>
      <c r="Q15" s="9">
        <v>138474</v>
      </c>
      <c r="R15" s="9">
        <v>99843</v>
      </c>
      <c r="S15" s="269">
        <v>132522</v>
      </c>
      <c r="T15" s="269">
        <v>8540</v>
      </c>
      <c r="U15" s="269">
        <f t="shared" si="8"/>
        <v>141062</v>
      </c>
    </row>
    <row r="16" spans="1:21" s="2" customFormat="1" x14ac:dyDescent="0.25">
      <c r="A16" s="103">
        <f t="shared" si="9"/>
        <v>13</v>
      </c>
      <c r="B16" s="22"/>
      <c r="C16" s="22"/>
      <c r="D16" s="22" t="s">
        <v>359</v>
      </c>
      <c r="E16" s="9">
        <v>456646</v>
      </c>
      <c r="F16" s="14">
        <v>556464</v>
      </c>
      <c r="G16" s="28">
        <v>584074</v>
      </c>
      <c r="H16" s="19">
        <v>-28000</v>
      </c>
      <c r="I16" s="9">
        <f>H16+G16</f>
        <v>556074</v>
      </c>
      <c r="J16" s="9">
        <f>4534+1650</f>
        <v>6184</v>
      </c>
      <c r="K16" s="84">
        <f>J16+I16</f>
        <v>562258</v>
      </c>
      <c r="L16" s="9">
        <f>7700</f>
        <v>7700</v>
      </c>
      <c r="M16" s="29">
        <f>K16+L16</f>
        <v>569958</v>
      </c>
      <c r="N16" s="9">
        <v>534237</v>
      </c>
      <c r="O16" s="9">
        <v>487345</v>
      </c>
      <c r="P16" s="9">
        <v>665800</v>
      </c>
      <c r="Q16" s="9">
        <v>577600</v>
      </c>
      <c r="R16" s="9">
        <v>560100</v>
      </c>
      <c r="S16" s="269">
        <v>827437</v>
      </c>
      <c r="T16" s="269">
        <v>9077</v>
      </c>
      <c r="U16" s="269">
        <f t="shared" si="8"/>
        <v>836514</v>
      </c>
    </row>
    <row r="17" spans="1:21" s="2" customFormat="1" x14ac:dyDescent="0.25">
      <c r="A17" s="103">
        <f t="shared" si="9"/>
        <v>14</v>
      </c>
      <c r="B17" s="22"/>
      <c r="C17" s="22"/>
      <c r="D17" s="22" t="s">
        <v>6</v>
      </c>
      <c r="E17" s="9">
        <v>50000</v>
      </c>
      <c r="F17" s="9">
        <v>109538</v>
      </c>
      <c r="G17" s="28">
        <v>50000</v>
      </c>
      <c r="H17" s="19">
        <v>489830</v>
      </c>
      <c r="I17" s="9">
        <f t="shared" ref="I17:I30" si="10">H17+G17</f>
        <v>539830</v>
      </c>
      <c r="J17" s="9">
        <f>-5038+720-4056-204480</f>
        <v>-212854</v>
      </c>
      <c r="K17" s="84">
        <f>J17+I17</f>
        <v>326976</v>
      </c>
      <c r="L17" s="9">
        <f>2160-504-116-10000-12221-7233-89575-1000-9917-28000</f>
        <v>-156406</v>
      </c>
      <c r="M17" s="29">
        <f>K17+L17</f>
        <v>170570</v>
      </c>
      <c r="N17" s="9">
        <v>298576</v>
      </c>
      <c r="O17" s="9">
        <v>542717</v>
      </c>
      <c r="P17" s="9">
        <v>430053</v>
      </c>
      <c r="Q17" s="9">
        <v>218351</v>
      </c>
      <c r="R17" s="14">
        <v>222074</v>
      </c>
      <c r="S17" s="269">
        <v>202181</v>
      </c>
      <c r="T17" s="269">
        <v>-3494</v>
      </c>
      <c r="U17" s="269">
        <f t="shared" si="8"/>
        <v>198687</v>
      </c>
    </row>
    <row r="18" spans="1:21" s="2" customFormat="1" x14ac:dyDescent="0.25">
      <c r="A18" s="103">
        <f t="shared" si="9"/>
        <v>15</v>
      </c>
      <c r="B18" s="22"/>
      <c r="C18" s="22"/>
      <c r="D18" s="22" t="s">
        <v>103</v>
      </c>
      <c r="E18" s="9">
        <v>410480</v>
      </c>
      <c r="F18" s="9">
        <v>456696</v>
      </c>
      <c r="G18" s="29">
        <v>161100</v>
      </c>
      <c r="H18" s="19">
        <v>0</v>
      </c>
      <c r="I18" s="9">
        <f t="shared" si="10"/>
        <v>161100</v>
      </c>
      <c r="J18" s="9">
        <f t="shared" ref="J18" si="11">+K18-I18</f>
        <v>0</v>
      </c>
      <c r="K18" s="84">
        <v>161100</v>
      </c>
      <c r="L18" s="9">
        <v>-34344</v>
      </c>
      <c r="M18" s="29">
        <f>K18+L18</f>
        <v>126756</v>
      </c>
      <c r="N18" s="9">
        <v>69167</v>
      </c>
      <c r="O18" s="9">
        <v>132149</v>
      </c>
      <c r="P18" s="9">
        <v>88281</v>
      </c>
      <c r="Q18" s="9">
        <v>373698</v>
      </c>
      <c r="R18" s="9">
        <v>53915</v>
      </c>
      <c r="S18" s="269">
        <v>53915</v>
      </c>
      <c r="T18" s="269">
        <v>0</v>
      </c>
      <c r="U18" s="269">
        <f t="shared" si="8"/>
        <v>53915</v>
      </c>
    </row>
    <row r="19" spans="1:21" s="1" customFormat="1" x14ac:dyDescent="0.25">
      <c r="A19" s="103">
        <f t="shared" si="9"/>
        <v>16</v>
      </c>
      <c r="B19" s="16" t="s">
        <v>9</v>
      </c>
      <c r="C19" s="16"/>
      <c r="D19" s="16"/>
      <c r="E19" s="11">
        <f>SUM(E22,E21,E20)</f>
        <v>4324694</v>
      </c>
      <c r="F19" s="11">
        <f t="shared" ref="F19:J19" si="12">SUM(F22,F21,F20)</f>
        <v>6454473</v>
      </c>
      <c r="G19" s="11">
        <f t="shared" si="12"/>
        <v>3963362</v>
      </c>
      <c r="H19" s="11">
        <f t="shared" si="12"/>
        <v>-445779</v>
      </c>
      <c r="I19" s="11">
        <f t="shared" si="12"/>
        <v>3517583</v>
      </c>
      <c r="J19" s="11">
        <f t="shared" si="12"/>
        <v>-40874</v>
      </c>
      <c r="K19" s="85">
        <f>SUM(K20:K22)</f>
        <v>3476709</v>
      </c>
      <c r="L19" s="85">
        <f t="shared" ref="L19:M19" si="13">SUM(L20:L22)</f>
        <v>221151</v>
      </c>
      <c r="M19" s="85">
        <f t="shared" si="13"/>
        <v>3697860</v>
      </c>
      <c r="N19" s="11">
        <f>N20+N21+N22</f>
        <v>1567533</v>
      </c>
      <c r="O19" s="99">
        <f>SUM(O20:O22)</f>
        <v>880049</v>
      </c>
      <c r="P19" s="99">
        <f>SUM(P20:P22)</f>
        <v>9398278</v>
      </c>
      <c r="Q19" s="99">
        <f>SUM(Q20:Q22)</f>
        <v>5092781</v>
      </c>
      <c r="R19" s="99">
        <f>SUM(R20:R22)</f>
        <v>3448789</v>
      </c>
      <c r="S19" s="112">
        <f>SUM(S20:S22)</f>
        <v>875376</v>
      </c>
      <c r="T19" s="112">
        <f t="shared" ref="T19:U19" si="14">SUM(T20:T22)</f>
        <v>266956</v>
      </c>
      <c r="U19" s="112">
        <f t="shared" si="14"/>
        <v>1142332</v>
      </c>
    </row>
    <row r="20" spans="1:21" x14ac:dyDescent="0.25">
      <c r="A20" s="103">
        <f t="shared" si="9"/>
        <v>17</v>
      </c>
      <c r="B20" s="3"/>
      <c r="C20" s="3" t="s">
        <v>10</v>
      </c>
      <c r="D20" s="3"/>
      <c r="E20" s="9">
        <v>4203514</v>
      </c>
      <c r="F20" s="9">
        <v>5198807</v>
      </c>
      <c r="G20" s="29">
        <v>3257446</v>
      </c>
      <c r="H20" s="9">
        <v>-449334</v>
      </c>
      <c r="I20" s="9">
        <f t="shared" si="10"/>
        <v>2808112</v>
      </c>
      <c r="J20" s="9">
        <f>-428816-20000+45633</f>
        <v>-403183</v>
      </c>
      <c r="K20" s="84">
        <f>J20+I20</f>
        <v>2404929</v>
      </c>
      <c r="L20" s="9">
        <f>128458+5715+32687+34344+8398+2400</f>
        <v>212002</v>
      </c>
      <c r="M20" s="29">
        <f t="shared" ref="M20:M25" si="15">K20+L20</f>
        <v>2616931</v>
      </c>
      <c r="N20" s="9">
        <v>838759</v>
      </c>
      <c r="O20" s="9">
        <v>574696</v>
      </c>
      <c r="P20" s="9">
        <v>8232509</v>
      </c>
      <c r="Q20" s="9">
        <v>4942513</v>
      </c>
      <c r="R20" s="9">
        <v>3302844</v>
      </c>
      <c r="S20" s="269">
        <v>250001</v>
      </c>
      <c r="T20" s="269">
        <v>12588</v>
      </c>
      <c r="U20" s="269">
        <f t="shared" ref="U20:U21" si="16">SUM(S20:T20)</f>
        <v>262589</v>
      </c>
    </row>
    <row r="21" spans="1:21" x14ac:dyDescent="0.25">
      <c r="A21" s="103">
        <f t="shared" si="9"/>
        <v>18</v>
      </c>
      <c r="B21" s="3"/>
      <c r="C21" s="3" t="s">
        <v>11</v>
      </c>
      <c r="D21" s="3"/>
      <c r="E21" s="9">
        <v>106180</v>
      </c>
      <c r="F21" s="9">
        <v>1205666</v>
      </c>
      <c r="G21" s="27">
        <v>676916</v>
      </c>
      <c r="H21" s="9">
        <v>-4445</v>
      </c>
      <c r="I21" s="9">
        <f t="shared" si="10"/>
        <v>672471</v>
      </c>
      <c r="J21" s="9">
        <f>269610+64516+16496</f>
        <v>350622</v>
      </c>
      <c r="K21" s="84">
        <f>J21+I21</f>
        <v>1023093</v>
      </c>
      <c r="L21" s="9">
        <f>-5715+14864</f>
        <v>9149</v>
      </c>
      <c r="M21" s="29">
        <f t="shared" si="15"/>
        <v>1032242</v>
      </c>
      <c r="N21" s="9">
        <v>673774</v>
      </c>
      <c r="O21" s="9">
        <v>305353</v>
      </c>
      <c r="P21" s="9">
        <v>1165769</v>
      </c>
      <c r="Q21" s="9">
        <v>148154</v>
      </c>
      <c r="R21" s="9">
        <v>21500</v>
      </c>
      <c r="S21" s="269">
        <v>534694</v>
      </c>
      <c r="T21" s="269">
        <v>254357</v>
      </c>
      <c r="U21" s="269">
        <f t="shared" si="16"/>
        <v>789051</v>
      </c>
    </row>
    <row r="22" spans="1:21" x14ac:dyDescent="0.25">
      <c r="A22" s="103">
        <f t="shared" si="9"/>
        <v>19</v>
      </c>
      <c r="B22" s="3"/>
      <c r="C22" s="3" t="s">
        <v>12</v>
      </c>
      <c r="D22" s="3"/>
      <c r="E22" s="9">
        <v>15000</v>
      </c>
      <c r="F22" s="14">
        <v>50000</v>
      </c>
      <c r="G22" s="27">
        <v>29000</v>
      </c>
      <c r="H22" s="9">
        <v>8000</v>
      </c>
      <c r="I22" s="9">
        <f t="shared" si="10"/>
        <v>37000</v>
      </c>
      <c r="J22" s="9">
        <v>11687</v>
      </c>
      <c r="K22" s="84">
        <f>SUM(K23:K25)</f>
        <v>48687</v>
      </c>
      <c r="L22" s="9">
        <v>0</v>
      </c>
      <c r="M22" s="29">
        <f t="shared" si="15"/>
        <v>48687</v>
      </c>
      <c r="N22" s="9">
        <v>55000</v>
      </c>
      <c r="O22" s="110">
        <f>SUM(O23:O25)</f>
        <v>0</v>
      </c>
      <c r="P22" s="110">
        <f>SUM(P23:P25)</f>
        <v>0</v>
      </c>
      <c r="Q22" s="110">
        <f>SUM(Q23:Q25)</f>
        <v>2114</v>
      </c>
      <c r="R22" s="110">
        <f>SUM(R23:R25)</f>
        <v>124445</v>
      </c>
      <c r="S22" s="272">
        <f>SUM(S23:S25)</f>
        <v>90681</v>
      </c>
      <c r="T22" s="272">
        <f t="shared" ref="T22:U22" si="17">SUM(T23:T25)</f>
        <v>11</v>
      </c>
      <c r="U22" s="272">
        <f t="shared" si="17"/>
        <v>90692</v>
      </c>
    </row>
    <row r="23" spans="1:21" s="2" customFormat="1" x14ac:dyDescent="0.25">
      <c r="A23" s="103">
        <f t="shared" si="9"/>
        <v>20</v>
      </c>
      <c r="B23" s="22"/>
      <c r="C23" s="22"/>
      <c r="D23" s="22" t="s">
        <v>13</v>
      </c>
      <c r="E23" s="19">
        <v>0</v>
      </c>
      <c r="F23" s="9">
        <v>5450</v>
      </c>
      <c r="G23" s="28">
        <v>0</v>
      </c>
      <c r="H23" s="19">
        <v>3000</v>
      </c>
      <c r="I23" s="9">
        <f t="shared" si="10"/>
        <v>3000</v>
      </c>
      <c r="J23" s="9">
        <v>11687</v>
      </c>
      <c r="K23" s="84">
        <f>J23+I23</f>
        <v>14687</v>
      </c>
      <c r="L23" s="19">
        <v>0</v>
      </c>
      <c r="M23" s="30">
        <f t="shared" si="15"/>
        <v>14687</v>
      </c>
      <c r="N23" s="9">
        <v>5000</v>
      </c>
      <c r="O23" s="9">
        <v>0</v>
      </c>
      <c r="P23" s="9">
        <v>0</v>
      </c>
      <c r="Q23" s="9">
        <v>2114</v>
      </c>
      <c r="R23" s="9">
        <f>1717+85181+27547</f>
        <v>114445</v>
      </c>
      <c r="S23" s="269">
        <v>85181</v>
      </c>
      <c r="T23" s="269">
        <v>11</v>
      </c>
      <c r="U23" s="269">
        <f t="shared" ref="U23:U25" si="18">SUM(S23:T23)</f>
        <v>85192</v>
      </c>
    </row>
    <row r="24" spans="1:21" s="2" customFormat="1" ht="30" x14ac:dyDescent="0.25">
      <c r="A24" s="103">
        <f t="shared" si="9"/>
        <v>21</v>
      </c>
      <c r="B24" s="22"/>
      <c r="C24" s="22"/>
      <c r="D24" s="18" t="s">
        <v>346</v>
      </c>
      <c r="E24" s="19">
        <v>0</v>
      </c>
      <c r="F24" s="9">
        <v>0</v>
      </c>
      <c r="G24" s="30">
        <v>0</v>
      </c>
      <c r="H24" s="19">
        <f>+'[1]Kiad-Mód'!F24</f>
        <v>0</v>
      </c>
      <c r="I24" s="9">
        <f t="shared" si="10"/>
        <v>0</v>
      </c>
      <c r="J24" s="9">
        <v>0</v>
      </c>
      <c r="K24" s="84">
        <v>0</v>
      </c>
      <c r="L24" s="19">
        <v>0</v>
      </c>
      <c r="M24" s="30">
        <f t="shared" si="15"/>
        <v>0</v>
      </c>
      <c r="N24" s="9">
        <v>0</v>
      </c>
      <c r="O24" s="9">
        <v>0</v>
      </c>
      <c r="P24" s="9">
        <v>0</v>
      </c>
      <c r="Q24" s="9">
        <v>0</v>
      </c>
      <c r="R24" s="9">
        <v>10000</v>
      </c>
      <c r="S24" s="269">
        <v>5500</v>
      </c>
      <c r="T24" s="269">
        <v>0</v>
      </c>
      <c r="U24" s="269">
        <f t="shared" si="18"/>
        <v>5500</v>
      </c>
    </row>
    <row r="25" spans="1:21" s="2" customFormat="1" x14ac:dyDescent="0.25">
      <c r="A25" s="103">
        <f t="shared" si="9"/>
        <v>22</v>
      </c>
      <c r="B25" s="22"/>
      <c r="C25" s="22"/>
      <c r="D25" s="22" t="s">
        <v>348</v>
      </c>
      <c r="E25" s="19">
        <v>0</v>
      </c>
      <c r="F25" s="9">
        <v>44550</v>
      </c>
      <c r="G25" s="30">
        <v>29000</v>
      </c>
      <c r="H25" s="19">
        <v>5000</v>
      </c>
      <c r="I25" s="9">
        <f t="shared" si="10"/>
        <v>34000</v>
      </c>
      <c r="J25" s="9">
        <f t="shared" ref="J25" si="19">+K25-I25</f>
        <v>0</v>
      </c>
      <c r="K25" s="84">
        <v>34000</v>
      </c>
      <c r="L25" s="19">
        <v>0</v>
      </c>
      <c r="M25" s="30">
        <f t="shared" si="15"/>
        <v>34000</v>
      </c>
      <c r="N25" s="9">
        <v>50000</v>
      </c>
      <c r="O25" s="9">
        <v>0</v>
      </c>
      <c r="P25" s="9">
        <v>0</v>
      </c>
      <c r="Q25" s="9">
        <v>0</v>
      </c>
      <c r="R25" s="9">
        <v>0</v>
      </c>
      <c r="S25" s="269">
        <v>0</v>
      </c>
      <c r="T25" s="269">
        <v>0</v>
      </c>
      <c r="U25" s="269">
        <f t="shared" si="18"/>
        <v>0</v>
      </c>
    </row>
    <row r="26" spans="1:21" s="1" customFormat="1" x14ac:dyDescent="0.25">
      <c r="A26" s="103">
        <f t="shared" si="9"/>
        <v>23</v>
      </c>
      <c r="B26" s="16" t="s">
        <v>15</v>
      </c>
      <c r="C26" s="16"/>
      <c r="D26" s="16"/>
      <c r="E26" s="11">
        <f>SUM(E27:E30)</f>
        <v>1123643</v>
      </c>
      <c r="F26" s="11">
        <f t="shared" ref="F26:M26" si="20">SUM(F27:F30)</f>
        <v>1598890</v>
      </c>
      <c r="G26" s="11">
        <f t="shared" si="20"/>
        <v>1297839</v>
      </c>
      <c r="H26" s="11">
        <f t="shared" si="20"/>
        <v>20668</v>
      </c>
      <c r="I26" s="11">
        <f t="shared" si="20"/>
        <v>1318507</v>
      </c>
      <c r="J26" s="11">
        <f t="shared" si="20"/>
        <v>26367</v>
      </c>
      <c r="K26" s="31">
        <f t="shared" si="20"/>
        <v>1344874</v>
      </c>
      <c r="L26" s="31">
        <f t="shared" si="20"/>
        <v>46487</v>
      </c>
      <c r="M26" s="31">
        <f t="shared" si="20"/>
        <v>1391361</v>
      </c>
      <c r="N26" s="11">
        <f>N27+N28+N29+N30</f>
        <v>1326871</v>
      </c>
      <c r="O26" s="99">
        <f>SUM(O27:O30)</f>
        <v>1382172</v>
      </c>
      <c r="P26" s="99">
        <f>SUM(P27:P30)</f>
        <v>1583894</v>
      </c>
      <c r="Q26" s="99">
        <f>SUM(Q27:Q30)</f>
        <v>1897558</v>
      </c>
      <c r="R26" s="99">
        <f>SUM(R27:R30)</f>
        <v>2218814</v>
      </c>
      <c r="S26" s="112">
        <f>SUM(S27:S30)</f>
        <v>2516530</v>
      </c>
      <c r="T26" s="112">
        <f t="shared" ref="T26:U26" si="21">SUM(T27:T30)</f>
        <v>-9150</v>
      </c>
      <c r="U26" s="112">
        <f t="shared" si="21"/>
        <v>2507380</v>
      </c>
    </row>
    <row r="27" spans="1:21" x14ac:dyDescent="0.25">
      <c r="A27" s="103">
        <f t="shared" si="9"/>
        <v>24</v>
      </c>
      <c r="B27" s="3"/>
      <c r="C27" s="3" t="s">
        <v>16</v>
      </c>
      <c r="D27" s="3"/>
      <c r="E27" s="9">
        <v>0</v>
      </c>
      <c r="F27" s="9">
        <v>0</v>
      </c>
      <c r="G27" s="29">
        <v>0</v>
      </c>
      <c r="H27" s="9">
        <f>+'[1]Kiad-Mód'!F27</f>
        <v>0</v>
      </c>
      <c r="I27" s="9">
        <f t="shared" si="10"/>
        <v>0</v>
      </c>
      <c r="J27" s="9">
        <f>+K27-I27</f>
        <v>0</v>
      </c>
      <c r="K27" s="84">
        <v>0</v>
      </c>
      <c r="L27" s="9">
        <v>0</v>
      </c>
      <c r="M27" s="29">
        <f>K27+L27</f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269">
        <v>0</v>
      </c>
      <c r="T27" s="269">
        <v>0</v>
      </c>
      <c r="U27" s="269">
        <f t="shared" ref="U27:U30" si="22">SUM(S27:T27)</f>
        <v>0</v>
      </c>
    </row>
    <row r="28" spans="1:21" x14ac:dyDescent="0.25">
      <c r="A28" s="103">
        <f t="shared" si="9"/>
        <v>25</v>
      </c>
      <c r="B28" s="3"/>
      <c r="C28" s="3" t="s">
        <v>54</v>
      </c>
      <c r="D28" s="3"/>
      <c r="E28" s="9">
        <v>0</v>
      </c>
      <c r="F28" s="9">
        <v>395613</v>
      </c>
      <c r="G28" s="29">
        <v>0</v>
      </c>
      <c r="H28" s="9">
        <f>+'[1]Kiad-Mód'!F28</f>
        <v>0</v>
      </c>
      <c r="I28" s="9">
        <f t="shared" si="10"/>
        <v>0</v>
      </c>
      <c r="J28" s="9">
        <f t="shared" ref="J28:J29" si="23">+K28-I28</f>
        <v>0</v>
      </c>
      <c r="K28" s="84">
        <v>0</v>
      </c>
      <c r="L28" s="9">
        <v>0</v>
      </c>
      <c r="M28" s="29">
        <f>K28+L28</f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269">
        <v>0</v>
      </c>
      <c r="T28" s="269">
        <v>0</v>
      </c>
      <c r="U28" s="269">
        <f t="shared" si="22"/>
        <v>0</v>
      </c>
    </row>
    <row r="29" spans="1:21" x14ac:dyDescent="0.25">
      <c r="A29" s="103">
        <f t="shared" si="9"/>
        <v>26</v>
      </c>
      <c r="B29" s="3"/>
      <c r="C29" s="3" t="s">
        <v>52</v>
      </c>
      <c r="D29" s="3"/>
      <c r="E29" s="9">
        <v>23371</v>
      </c>
      <c r="F29" s="9">
        <v>23371</v>
      </c>
      <c r="G29" s="29">
        <v>25752</v>
      </c>
      <c r="H29" s="9">
        <f>+'[1]Kiad-Mód'!F29</f>
        <v>0</v>
      </c>
      <c r="I29" s="9">
        <f t="shared" si="10"/>
        <v>25752</v>
      </c>
      <c r="J29" s="9">
        <f t="shared" si="23"/>
        <v>0</v>
      </c>
      <c r="K29" s="84">
        <v>25752</v>
      </c>
      <c r="L29" s="9">
        <v>0</v>
      </c>
      <c r="M29" s="29">
        <f>K29+L29</f>
        <v>25752</v>
      </c>
      <c r="N29" s="9">
        <v>35640</v>
      </c>
      <c r="O29" s="9">
        <v>56586</v>
      </c>
      <c r="P29" s="9">
        <v>58624</v>
      </c>
      <c r="Q29" s="9">
        <v>63437</v>
      </c>
      <c r="R29" s="9">
        <v>73080</v>
      </c>
      <c r="S29" s="269">
        <v>81776</v>
      </c>
      <c r="T29" s="269">
        <v>0</v>
      </c>
      <c r="U29" s="269">
        <f t="shared" si="22"/>
        <v>81776</v>
      </c>
    </row>
    <row r="30" spans="1:21" x14ac:dyDescent="0.25">
      <c r="A30" s="103">
        <f t="shared" si="9"/>
        <v>27</v>
      </c>
      <c r="B30" s="3"/>
      <c r="C30" s="3" t="s">
        <v>53</v>
      </c>
      <c r="D30" s="3"/>
      <c r="E30" s="9">
        <v>1100272</v>
      </c>
      <c r="F30" s="9">
        <v>1179906</v>
      </c>
      <c r="G30" s="27">
        <v>1272087</v>
      </c>
      <c r="H30" s="9">
        <v>20668</v>
      </c>
      <c r="I30" s="9">
        <f t="shared" si="10"/>
        <v>1292755</v>
      </c>
      <c r="J30" s="9">
        <v>26367</v>
      </c>
      <c r="K30" s="84">
        <f>J30+I30</f>
        <v>1319122</v>
      </c>
      <c r="L30" s="9">
        <f>256+77+109+11+5507+724+10000+1803+9000+6429+12571</f>
        <v>46487</v>
      </c>
      <c r="M30" s="29">
        <f>K30+L30</f>
        <v>1365609</v>
      </c>
      <c r="N30" s="9">
        <v>1291231</v>
      </c>
      <c r="O30" s="9">
        <v>1325586</v>
      </c>
      <c r="P30" s="9">
        <v>1525270</v>
      </c>
      <c r="Q30" s="9">
        <v>1834121</v>
      </c>
      <c r="R30" s="9">
        <v>2145734</v>
      </c>
      <c r="S30" s="269">
        <v>2434754</v>
      </c>
      <c r="T30" s="269">
        <v>-9150</v>
      </c>
      <c r="U30" s="269">
        <f t="shared" si="22"/>
        <v>2425604</v>
      </c>
    </row>
    <row r="31" spans="1:21" s="1" customFormat="1" x14ac:dyDescent="0.25">
      <c r="A31" s="103">
        <f t="shared" si="9"/>
        <v>28</v>
      </c>
      <c r="B31" s="16" t="s">
        <v>19</v>
      </c>
      <c r="C31" s="16"/>
      <c r="D31" s="16"/>
      <c r="E31" s="11">
        <f>SUM(E8,E19,E26)</f>
        <v>7561149</v>
      </c>
      <c r="F31" s="11">
        <f>SUM(F8,F19,F26)</f>
        <v>12090268</v>
      </c>
      <c r="G31" s="11">
        <f>SUM(G8,G19,G26)</f>
        <v>7152508</v>
      </c>
      <c r="H31" s="11">
        <f>SUM(H8,H19,H26)</f>
        <v>723711</v>
      </c>
      <c r="I31" s="11">
        <v>7876219</v>
      </c>
      <c r="J31" s="11">
        <f>J26+J19+J8</f>
        <v>204294</v>
      </c>
      <c r="K31" s="31">
        <f>SUM(K8,K19,K26)</f>
        <v>8080513</v>
      </c>
      <c r="L31" s="31">
        <f>SUM(L8,L19,L26)</f>
        <v>226573</v>
      </c>
      <c r="M31" s="31">
        <f>SUM(M8,M19,M26)</f>
        <v>8307086</v>
      </c>
      <c r="N31" s="11">
        <f>N8+N19+N26</f>
        <v>5361749</v>
      </c>
      <c r="O31" s="99">
        <f>SUM(O26,O19,O8)</f>
        <v>5140205</v>
      </c>
      <c r="P31" s="99">
        <f>SUM(P26,P19,P8)</f>
        <v>16331484</v>
      </c>
      <c r="Q31" s="99">
        <f>SUM(Q26,Q19,Q8)</f>
        <v>11947557</v>
      </c>
      <c r="R31" s="99">
        <f>SUM(R26,R19,R8)</f>
        <v>9561064</v>
      </c>
      <c r="S31" s="112">
        <f>SUM(S26,S19,S8)</f>
        <v>7287102</v>
      </c>
      <c r="T31" s="112">
        <f t="shared" ref="T31:U31" si="24">SUM(T26,T19,T8)</f>
        <v>517598</v>
      </c>
      <c r="U31" s="112">
        <f t="shared" si="24"/>
        <v>7804700</v>
      </c>
    </row>
    <row r="32" spans="1:21" ht="81.75" customHeight="1" x14ac:dyDescent="0.25">
      <c r="A32" s="103">
        <f t="shared" si="9"/>
        <v>29</v>
      </c>
      <c r="B32" s="16" t="s">
        <v>374</v>
      </c>
      <c r="C32" s="3"/>
      <c r="D32" s="3"/>
      <c r="E32" s="15" t="s">
        <v>107</v>
      </c>
      <c r="F32" s="6" t="s">
        <v>113</v>
      </c>
      <c r="G32" s="25" t="s">
        <v>114</v>
      </c>
      <c r="H32" s="24" t="s">
        <v>111</v>
      </c>
      <c r="I32" s="6" t="s">
        <v>116</v>
      </c>
      <c r="J32" s="6" t="s">
        <v>111</v>
      </c>
      <c r="K32" s="79" t="s">
        <v>258</v>
      </c>
      <c r="L32" s="6" t="s">
        <v>111</v>
      </c>
      <c r="M32" s="79" t="s">
        <v>262</v>
      </c>
      <c r="N32" s="6" t="str">
        <f>N$4</f>
        <v>Előirányzat
4/2020. (III.05.) önkormányzati rendelet</v>
      </c>
      <c r="O32" s="6" t="s">
        <v>311</v>
      </c>
      <c r="P32" s="6" t="str">
        <f>P$4</f>
        <v>Előirányzat
3/2022. (II.10.) önkormányzati rendelet</v>
      </c>
      <c r="Q32" s="6" t="str">
        <f>Q$4</f>
        <v>Előirányzat
1./2023. (II.23.) önkormányzati rendelet</v>
      </c>
      <c r="R32" s="6" t="str">
        <f>R$4</f>
        <v>Előirányzat
1./2024. (II)22. önkormányzati rendelet</v>
      </c>
      <c r="S32" s="266" t="str">
        <f ca="1">S$4</f>
        <v>Előirányzat
2/2025. (II.20.) önkormányzati rendelet</v>
      </c>
      <c r="T32" s="266" t="s">
        <v>111</v>
      </c>
      <c r="U32" s="266" t="s">
        <v>384</v>
      </c>
    </row>
    <row r="33" spans="1:21" x14ac:dyDescent="0.25">
      <c r="A33" s="103">
        <f t="shared" si="9"/>
        <v>30</v>
      </c>
      <c r="B33" s="16" t="s">
        <v>25</v>
      </c>
      <c r="C33" s="3"/>
      <c r="D33" s="3"/>
      <c r="E33" s="9"/>
      <c r="F33" s="3"/>
      <c r="G33" s="29"/>
      <c r="H33" s="3"/>
      <c r="I33" s="3"/>
      <c r="J33" s="3"/>
      <c r="K33" s="26"/>
      <c r="L33" s="3"/>
      <c r="M33" s="26"/>
      <c r="N33" s="3"/>
      <c r="O33" s="9"/>
      <c r="P33" s="9"/>
      <c r="Q33" s="9"/>
      <c r="R33" s="9"/>
      <c r="S33" s="269"/>
      <c r="T33" s="269"/>
      <c r="U33" s="269"/>
    </row>
    <row r="34" spans="1:21" x14ac:dyDescent="0.25">
      <c r="A34" s="103">
        <f t="shared" si="9"/>
        <v>31</v>
      </c>
      <c r="B34" s="16"/>
      <c r="C34" s="3" t="s">
        <v>26</v>
      </c>
      <c r="D34" s="3"/>
      <c r="E34" s="9"/>
      <c r="F34" s="3"/>
      <c r="G34" s="29"/>
      <c r="H34" s="3"/>
      <c r="I34" s="3"/>
      <c r="J34" s="3"/>
      <c r="K34" s="26"/>
      <c r="L34" s="3"/>
      <c r="M34" s="26"/>
      <c r="N34" s="3"/>
      <c r="O34" s="9"/>
      <c r="P34" s="9"/>
      <c r="Q34" s="9"/>
      <c r="R34" s="9"/>
      <c r="S34" s="269"/>
      <c r="T34" s="269"/>
      <c r="U34" s="269"/>
    </row>
    <row r="35" spans="1:21" x14ac:dyDescent="0.25">
      <c r="A35" s="103">
        <f t="shared" si="9"/>
        <v>32</v>
      </c>
      <c r="B35" s="16" t="s">
        <v>8</v>
      </c>
      <c r="C35" s="16"/>
      <c r="D35" s="16"/>
      <c r="E35" s="11">
        <f>SUM(E40,E39,E38,E37,E36)</f>
        <v>400005</v>
      </c>
      <c r="F35" s="11">
        <f t="shared" ref="F35:G35" si="25">SUM(F40,F39,F38,F37,F36)</f>
        <v>452141</v>
      </c>
      <c r="G35" s="31">
        <f t="shared" si="25"/>
        <v>483359</v>
      </c>
      <c r="H35" s="11">
        <f>SUM(H40,H39,H38,H37,H36)</f>
        <v>8617</v>
      </c>
      <c r="I35" s="11">
        <f>SUM(I40,I39,I38,I37,I36)</f>
        <v>491976</v>
      </c>
      <c r="J35" s="11">
        <f>J36+J37+J38</f>
        <v>6385</v>
      </c>
      <c r="K35" s="85">
        <f>I35+J35</f>
        <v>498361</v>
      </c>
      <c r="L35" s="11">
        <f>L36+L37+L38</f>
        <v>36463</v>
      </c>
      <c r="M35" s="96">
        <f>+K35+L35</f>
        <v>534824</v>
      </c>
      <c r="N35" s="49">
        <f>N36+N37+N38</f>
        <v>432731</v>
      </c>
      <c r="O35" s="111">
        <f>SUM(O36:O40)</f>
        <v>453775</v>
      </c>
      <c r="P35" s="111">
        <f>SUM(P36:P40)</f>
        <v>493954</v>
      </c>
      <c r="Q35" s="111">
        <f>SUM(Q36:Q40)</f>
        <v>583675</v>
      </c>
      <c r="R35" s="111">
        <f>SUM(R36:R40)</f>
        <v>686858</v>
      </c>
      <c r="S35" s="112">
        <f>SUM(S36:S40)</f>
        <v>806477</v>
      </c>
      <c r="T35" s="112">
        <f t="shared" ref="T35:U35" si="26">SUM(T36:T40)</f>
        <v>18191</v>
      </c>
      <c r="U35" s="112">
        <f t="shared" si="26"/>
        <v>824668</v>
      </c>
    </row>
    <row r="36" spans="1:21" x14ac:dyDescent="0.25">
      <c r="A36" s="103">
        <f t="shared" si="9"/>
        <v>33</v>
      </c>
      <c r="B36" s="3"/>
      <c r="C36" s="3" t="s">
        <v>2</v>
      </c>
      <c r="D36" s="3"/>
      <c r="E36" s="9">
        <v>271406</v>
      </c>
      <c r="F36" s="9">
        <v>296754</v>
      </c>
      <c r="G36" s="29">
        <v>327843</v>
      </c>
      <c r="H36" s="9">
        <v>3865</v>
      </c>
      <c r="I36" s="9">
        <f>H36+G36</f>
        <v>331708</v>
      </c>
      <c r="J36" s="9">
        <v>0</v>
      </c>
      <c r="K36" s="84">
        <v>331774</v>
      </c>
      <c r="L36" s="9">
        <v>8663</v>
      </c>
      <c r="M36" s="29">
        <f>K36+L36</f>
        <v>340437</v>
      </c>
      <c r="N36" s="9">
        <v>312721</v>
      </c>
      <c r="O36" s="9">
        <v>310685</v>
      </c>
      <c r="P36" s="9">
        <v>327692</v>
      </c>
      <c r="Q36" s="9">
        <v>356959</v>
      </c>
      <c r="R36" s="9">
        <v>414456</v>
      </c>
      <c r="S36" s="269">
        <v>516703</v>
      </c>
      <c r="T36" s="269">
        <v>1635</v>
      </c>
      <c r="U36" s="269">
        <f t="shared" ref="U36:U39" si="27">SUM(S36:T36)</f>
        <v>518338</v>
      </c>
    </row>
    <row r="37" spans="1:21" x14ac:dyDescent="0.25">
      <c r="A37" s="103">
        <f t="shared" si="9"/>
        <v>34</v>
      </c>
      <c r="B37" s="3"/>
      <c r="C37" s="3" t="s">
        <v>1</v>
      </c>
      <c r="D37" s="3"/>
      <c r="E37" s="9">
        <v>58924</v>
      </c>
      <c r="F37" s="9">
        <v>61332</v>
      </c>
      <c r="G37" s="29">
        <v>67000</v>
      </c>
      <c r="H37" s="9">
        <v>4136</v>
      </c>
      <c r="I37" s="9">
        <f t="shared" ref="I37:I39" si="28">H37+G37</f>
        <v>71136</v>
      </c>
      <c r="J37" s="9">
        <v>0</v>
      </c>
      <c r="K37" s="84">
        <v>71136</v>
      </c>
      <c r="L37" s="9">
        <v>4224</v>
      </c>
      <c r="M37" s="29">
        <f>K37+L37</f>
        <v>75360</v>
      </c>
      <c r="N37" s="9">
        <v>53511</v>
      </c>
      <c r="O37" s="9">
        <v>51150</v>
      </c>
      <c r="P37" s="9">
        <v>50326</v>
      </c>
      <c r="Q37" s="9">
        <v>54926</v>
      </c>
      <c r="R37" s="9">
        <v>61467</v>
      </c>
      <c r="S37" s="269">
        <v>76984</v>
      </c>
      <c r="T37" s="269">
        <v>219</v>
      </c>
      <c r="U37" s="269">
        <f t="shared" si="27"/>
        <v>77203</v>
      </c>
    </row>
    <row r="38" spans="1:21" x14ac:dyDescent="0.25">
      <c r="A38" s="103">
        <f t="shared" si="9"/>
        <v>35</v>
      </c>
      <c r="B38" s="3"/>
      <c r="C38" s="3" t="s">
        <v>4</v>
      </c>
      <c r="D38" s="3"/>
      <c r="E38" s="9">
        <v>69675</v>
      </c>
      <c r="F38" s="9">
        <v>94019</v>
      </c>
      <c r="G38" s="29">
        <v>88516</v>
      </c>
      <c r="H38" s="9">
        <v>616</v>
      </c>
      <c r="I38" s="9">
        <f t="shared" si="28"/>
        <v>89132</v>
      </c>
      <c r="J38" s="9">
        <v>6385</v>
      </c>
      <c r="K38" s="84">
        <f>SUM(I38:J38)</f>
        <v>95517</v>
      </c>
      <c r="L38" s="9">
        <f>16076+7500</f>
        <v>23576</v>
      </c>
      <c r="M38" s="29">
        <f>K38+L38</f>
        <v>119093</v>
      </c>
      <c r="N38" s="9">
        <v>66499</v>
      </c>
      <c r="O38" s="9">
        <v>91940</v>
      </c>
      <c r="P38" s="9">
        <v>115936</v>
      </c>
      <c r="Q38" s="9">
        <v>171790</v>
      </c>
      <c r="R38" s="9">
        <v>210935</v>
      </c>
      <c r="S38" s="269">
        <v>212790</v>
      </c>
      <c r="T38" s="269">
        <v>16337</v>
      </c>
      <c r="U38" s="269">
        <f t="shared" si="27"/>
        <v>229127</v>
      </c>
    </row>
    <row r="39" spans="1:21" x14ac:dyDescent="0.25">
      <c r="A39" s="103">
        <f t="shared" si="9"/>
        <v>36</v>
      </c>
      <c r="B39" s="3"/>
      <c r="C39" s="3" t="s">
        <v>3</v>
      </c>
      <c r="D39" s="3"/>
      <c r="E39" s="9">
        <v>0</v>
      </c>
      <c r="F39" s="14">
        <v>36</v>
      </c>
      <c r="G39" s="29">
        <v>0</v>
      </c>
      <c r="H39" s="9">
        <v>0</v>
      </c>
      <c r="I39" s="11">
        <f t="shared" si="28"/>
        <v>0</v>
      </c>
      <c r="J39" s="9">
        <f t="shared" ref="J39:J45" si="29">+K39-I39</f>
        <v>0</v>
      </c>
      <c r="K39" s="29">
        <v>0</v>
      </c>
      <c r="L39" s="3">
        <v>0</v>
      </c>
      <c r="M39" s="26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269">
        <v>0</v>
      </c>
      <c r="T39" s="269">
        <v>0</v>
      </c>
      <c r="U39" s="269">
        <f t="shared" si="27"/>
        <v>0</v>
      </c>
    </row>
    <row r="40" spans="1:21" x14ac:dyDescent="0.25">
      <c r="A40" s="103">
        <f t="shared" si="9"/>
        <v>37</v>
      </c>
      <c r="B40" s="3"/>
      <c r="C40" s="3" t="s">
        <v>5</v>
      </c>
      <c r="D40" s="3"/>
      <c r="E40" s="9">
        <f>SUM(E41:E45)</f>
        <v>0</v>
      </c>
      <c r="F40" s="13">
        <v>0</v>
      </c>
      <c r="G40" s="29">
        <v>0</v>
      </c>
      <c r="H40" s="9">
        <f>SUM(H41:H45)</f>
        <v>0</v>
      </c>
      <c r="I40" s="11">
        <f t="shared" ref="I40:I47" si="30">G39+H40</f>
        <v>0</v>
      </c>
      <c r="J40" s="9">
        <f t="shared" si="29"/>
        <v>0</v>
      </c>
      <c r="K40" s="29">
        <v>0</v>
      </c>
      <c r="L40" s="3">
        <v>0</v>
      </c>
      <c r="M40" s="26">
        <v>0</v>
      </c>
      <c r="N40" s="9">
        <v>0</v>
      </c>
      <c r="O40" s="110">
        <f>SUM(O41:O45)</f>
        <v>0</v>
      </c>
      <c r="P40" s="110">
        <f>SUM(P41:P45)</f>
        <v>0</v>
      </c>
      <c r="Q40" s="110">
        <f>SUM(Q41:Q45)</f>
        <v>0</v>
      </c>
      <c r="R40" s="110">
        <f>SUM(R41:R45)</f>
        <v>0</v>
      </c>
      <c r="S40" s="272">
        <f>SUM(S41:S45)</f>
        <v>0</v>
      </c>
      <c r="T40" s="272">
        <f t="shared" ref="T40:U40" si="31">SUM(T41:T45)</f>
        <v>0</v>
      </c>
      <c r="U40" s="272">
        <f t="shared" si="31"/>
        <v>0</v>
      </c>
    </row>
    <row r="41" spans="1:21" x14ac:dyDescent="0.25">
      <c r="A41" s="103">
        <f t="shared" si="9"/>
        <v>38</v>
      </c>
      <c r="B41" s="3"/>
      <c r="C41" s="3"/>
      <c r="D41" s="23" t="s">
        <v>20</v>
      </c>
      <c r="E41" s="19">
        <v>0</v>
      </c>
      <c r="F41" s="13">
        <v>0</v>
      </c>
      <c r="G41" s="29">
        <v>0</v>
      </c>
      <c r="H41" s="19">
        <f>+'[1]Kiad-Mód'!F43</f>
        <v>0</v>
      </c>
      <c r="I41" s="11">
        <f t="shared" si="30"/>
        <v>0</v>
      </c>
      <c r="J41" s="9">
        <f t="shared" si="29"/>
        <v>0</v>
      </c>
      <c r="K41" s="29">
        <v>0</v>
      </c>
      <c r="L41" s="3">
        <v>0</v>
      </c>
      <c r="M41" s="26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269">
        <v>0</v>
      </c>
      <c r="T41" s="269">
        <v>0</v>
      </c>
      <c r="U41" s="269">
        <f t="shared" ref="U41:U45" si="32">SUM(S41:T41)</f>
        <v>0</v>
      </c>
    </row>
    <row r="42" spans="1:21" x14ac:dyDescent="0.25">
      <c r="A42" s="103">
        <f t="shared" si="9"/>
        <v>39</v>
      </c>
      <c r="B42" s="3"/>
      <c r="C42" s="3"/>
      <c r="D42" s="22" t="s">
        <v>358</v>
      </c>
      <c r="E42" s="19">
        <v>0</v>
      </c>
      <c r="F42" s="13">
        <v>0</v>
      </c>
      <c r="G42" s="29">
        <v>0</v>
      </c>
      <c r="H42" s="19">
        <f>+'[1]Kiad-Mód'!F44</f>
        <v>0</v>
      </c>
      <c r="I42" s="11">
        <f t="shared" si="30"/>
        <v>0</v>
      </c>
      <c r="J42" s="9">
        <f t="shared" si="29"/>
        <v>0</v>
      </c>
      <c r="K42" s="29">
        <v>0</v>
      </c>
      <c r="L42" s="3">
        <v>0</v>
      </c>
      <c r="M42" s="26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269">
        <v>0</v>
      </c>
      <c r="T42" s="269">
        <v>0</v>
      </c>
      <c r="U42" s="269">
        <f t="shared" si="32"/>
        <v>0</v>
      </c>
    </row>
    <row r="43" spans="1:21" x14ac:dyDescent="0.25">
      <c r="A43" s="103">
        <f t="shared" si="9"/>
        <v>40</v>
      </c>
      <c r="B43" s="3"/>
      <c r="C43" s="3"/>
      <c r="D43" s="22" t="s">
        <v>359</v>
      </c>
      <c r="E43" s="19">
        <v>0</v>
      </c>
      <c r="F43" s="13">
        <v>0</v>
      </c>
      <c r="G43" s="29">
        <v>0</v>
      </c>
      <c r="H43" s="19">
        <f>+'[1]Kiad-Mód'!F45</f>
        <v>0</v>
      </c>
      <c r="I43" s="11">
        <f t="shared" si="30"/>
        <v>0</v>
      </c>
      <c r="J43" s="9">
        <f t="shared" si="29"/>
        <v>0</v>
      </c>
      <c r="K43" s="29">
        <v>0</v>
      </c>
      <c r="L43" s="3">
        <v>0</v>
      </c>
      <c r="M43" s="26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269">
        <v>0</v>
      </c>
      <c r="T43" s="269">
        <v>0</v>
      </c>
      <c r="U43" s="269">
        <f t="shared" si="32"/>
        <v>0</v>
      </c>
    </row>
    <row r="44" spans="1:21" x14ac:dyDescent="0.25">
      <c r="A44" s="103">
        <f t="shared" si="9"/>
        <v>41</v>
      </c>
      <c r="B44" s="3"/>
      <c r="C44" s="3"/>
      <c r="D44" s="22" t="s">
        <v>6</v>
      </c>
      <c r="E44" s="19">
        <v>0</v>
      </c>
      <c r="F44" s="3">
        <v>0</v>
      </c>
      <c r="G44" s="29">
        <v>0</v>
      </c>
      <c r="H44" s="19">
        <f>+'[1]Kiad-Mód'!F46</f>
        <v>0</v>
      </c>
      <c r="I44" s="11">
        <f t="shared" si="30"/>
        <v>0</v>
      </c>
      <c r="J44" s="9">
        <f t="shared" si="29"/>
        <v>0</v>
      </c>
      <c r="K44" s="29">
        <v>0</v>
      </c>
      <c r="L44" s="3">
        <v>0</v>
      </c>
      <c r="M44" s="26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269">
        <v>0</v>
      </c>
      <c r="T44" s="269">
        <v>0</v>
      </c>
      <c r="U44" s="269">
        <f t="shared" si="32"/>
        <v>0</v>
      </c>
    </row>
    <row r="45" spans="1:21" x14ac:dyDescent="0.25">
      <c r="A45" s="103">
        <f t="shared" si="9"/>
        <v>42</v>
      </c>
      <c r="B45" s="3"/>
      <c r="C45" s="3"/>
      <c r="D45" s="22" t="s">
        <v>7</v>
      </c>
      <c r="E45" s="19">
        <v>0</v>
      </c>
      <c r="F45" s="3">
        <v>0</v>
      </c>
      <c r="G45" s="29">
        <v>0</v>
      </c>
      <c r="H45" s="19">
        <f>+'[1]Kiad-Mód'!F47</f>
        <v>0</v>
      </c>
      <c r="I45" s="11">
        <f t="shared" si="30"/>
        <v>0</v>
      </c>
      <c r="J45" s="9">
        <f t="shared" si="29"/>
        <v>0</v>
      </c>
      <c r="K45" s="29">
        <v>0</v>
      </c>
      <c r="L45" s="3">
        <v>0</v>
      </c>
      <c r="M45" s="26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269">
        <v>0</v>
      </c>
      <c r="T45" s="269">
        <v>0</v>
      </c>
      <c r="U45" s="269">
        <f t="shared" si="32"/>
        <v>0</v>
      </c>
    </row>
    <row r="46" spans="1:21" x14ac:dyDescent="0.25">
      <c r="A46" s="103">
        <f t="shared" si="9"/>
        <v>43</v>
      </c>
      <c r="B46" s="16" t="s">
        <v>9</v>
      </c>
      <c r="C46" s="16"/>
      <c r="D46" s="16"/>
      <c r="E46" s="11">
        <f>SUM(E49,E48,E47)</f>
        <v>12600</v>
      </c>
      <c r="F46" s="11">
        <f t="shared" ref="F46:G46" si="33">SUM(F49,F48,F47)</f>
        <v>16077</v>
      </c>
      <c r="G46" s="31">
        <f t="shared" si="33"/>
        <v>10000</v>
      </c>
      <c r="H46" s="11">
        <f>SUM(H49,H48,H47)</f>
        <v>5742</v>
      </c>
      <c r="I46" s="11">
        <f>G46+H46</f>
        <v>15742</v>
      </c>
      <c r="J46" s="11">
        <f>J47</f>
        <v>1600</v>
      </c>
      <c r="K46" s="85">
        <f>I46+J46</f>
        <v>17342</v>
      </c>
      <c r="L46" s="16">
        <f>L47+L48</f>
        <v>1500</v>
      </c>
      <c r="M46" s="31">
        <f>+K46+L46</f>
        <v>18842</v>
      </c>
      <c r="N46" s="11">
        <f>N47+N48+N49</f>
        <v>7500</v>
      </c>
      <c r="O46" s="111">
        <f>SUM(O47:O49)</f>
        <v>10000</v>
      </c>
      <c r="P46" s="111">
        <f>SUM(P47:P49)</f>
        <v>5000</v>
      </c>
      <c r="Q46" s="111">
        <f>SUM(Q47:Q49)</f>
        <v>35026</v>
      </c>
      <c r="R46" s="111">
        <f>SUM(R47:R49)</f>
        <v>12496</v>
      </c>
      <c r="S46" s="112">
        <f>SUM(S47:S49)</f>
        <v>14986</v>
      </c>
      <c r="T46" s="112">
        <f t="shared" ref="T46:U46" si="34">SUM(T47:T49)</f>
        <v>0</v>
      </c>
      <c r="U46" s="112">
        <f t="shared" si="34"/>
        <v>14986</v>
      </c>
    </row>
    <row r="47" spans="1:21" x14ac:dyDescent="0.25">
      <c r="A47" s="103">
        <f t="shared" si="9"/>
        <v>44</v>
      </c>
      <c r="B47" s="3"/>
      <c r="C47" s="3" t="s">
        <v>10</v>
      </c>
      <c r="D47" s="3"/>
      <c r="E47" s="9">
        <v>12600</v>
      </c>
      <c r="F47" s="9">
        <v>16077</v>
      </c>
      <c r="G47" s="29">
        <v>10000</v>
      </c>
      <c r="H47" s="9">
        <v>5742</v>
      </c>
      <c r="I47" s="9">
        <f t="shared" si="30"/>
        <v>15742</v>
      </c>
      <c r="J47" s="9">
        <v>1600</v>
      </c>
      <c r="K47" s="84">
        <f>SUM(I47:J47)</f>
        <v>17342</v>
      </c>
      <c r="L47" s="3">
        <v>1500</v>
      </c>
      <c r="M47" s="29">
        <f>+K47+L47</f>
        <v>18842</v>
      </c>
      <c r="N47" s="9">
        <v>7500</v>
      </c>
      <c r="O47" s="9">
        <v>10000</v>
      </c>
      <c r="P47" s="9">
        <v>5000</v>
      </c>
      <c r="Q47" s="9">
        <v>35026</v>
      </c>
      <c r="R47" s="9">
        <v>12496</v>
      </c>
      <c r="S47" s="269">
        <v>14986</v>
      </c>
      <c r="T47" s="269">
        <v>0</v>
      </c>
      <c r="U47" s="269">
        <f t="shared" ref="U47:U48" si="35">SUM(S47:T47)</f>
        <v>14986</v>
      </c>
    </row>
    <row r="48" spans="1:21" x14ac:dyDescent="0.25">
      <c r="A48" s="103">
        <f t="shared" si="9"/>
        <v>45</v>
      </c>
      <c r="B48" s="3"/>
      <c r="C48" s="3" t="s">
        <v>11</v>
      </c>
      <c r="D48" s="3"/>
      <c r="E48" s="9">
        <v>0</v>
      </c>
      <c r="F48" s="3">
        <v>0</v>
      </c>
      <c r="G48" s="29">
        <v>0</v>
      </c>
      <c r="H48" s="9">
        <f>+'[1]Kiad-Mód'!F50</f>
        <v>0</v>
      </c>
      <c r="I48" s="9">
        <v>0</v>
      </c>
      <c r="J48" s="9">
        <f t="shared" ref="J48:J57" si="36">+K48-I48</f>
        <v>0</v>
      </c>
      <c r="K48" s="29">
        <v>0</v>
      </c>
      <c r="L48" s="3">
        <v>0</v>
      </c>
      <c r="M48" s="2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269">
        <v>0</v>
      </c>
      <c r="T48" s="269">
        <v>0</v>
      </c>
      <c r="U48" s="269">
        <f t="shared" si="35"/>
        <v>0</v>
      </c>
    </row>
    <row r="49" spans="1:21" x14ac:dyDescent="0.25">
      <c r="A49" s="103">
        <f t="shared" si="9"/>
        <v>46</v>
      </c>
      <c r="B49" s="3"/>
      <c r="C49" s="3" t="s">
        <v>12</v>
      </c>
      <c r="D49" s="3"/>
      <c r="E49" s="9">
        <f>SUM(E50:E52)</f>
        <v>0</v>
      </c>
      <c r="F49" s="3">
        <v>0</v>
      </c>
      <c r="G49" s="29">
        <v>0</v>
      </c>
      <c r="H49" s="9">
        <f>SUM(H50:H52)</f>
        <v>0</v>
      </c>
      <c r="I49" s="11">
        <f t="shared" ref="I49:I56" si="37">G48+H49</f>
        <v>0</v>
      </c>
      <c r="J49" s="9">
        <f t="shared" si="36"/>
        <v>0</v>
      </c>
      <c r="K49" s="29">
        <v>0</v>
      </c>
      <c r="L49" s="3">
        <v>0</v>
      </c>
      <c r="M49" s="26">
        <v>0</v>
      </c>
      <c r="N49" s="9">
        <v>0</v>
      </c>
      <c r="O49" s="110">
        <f>SUM(O50:O52)</f>
        <v>0</v>
      </c>
      <c r="P49" s="110">
        <f>SUM(P50:P52)</f>
        <v>0</v>
      </c>
      <c r="Q49" s="110">
        <f>SUM(Q50:Q52)</f>
        <v>0</v>
      </c>
      <c r="R49" s="110">
        <f>SUM(R50:R52)</f>
        <v>0</v>
      </c>
      <c r="S49" s="272">
        <f>SUM(S50:S52)</f>
        <v>0</v>
      </c>
      <c r="T49" s="272">
        <f t="shared" ref="T49:U49" si="38">SUM(T50:T52)</f>
        <v>0</v>
      </c>
      <c r="U49" s="272">
        <f t="shared" si="38"/>
        <v>0</v>
      </c>
    </row>
    <row r="50" spans="1:21" x14ac:dyDescent="0.25">
      <c r="A50" s="103">
        <f t="shared" si="9"/>
        <v>47</v>
      </c>
      <c r="B50" s="3"/>
      <c r="C50" s="3"/>
      <c r="D50" s="22" t="s">
        <v>13</v>
      </c>
      <c r="E50" s="19">
        <v>0</v>
      </c>
      <c r="F50" s="3">
        <v>0</v>
      </c>
      <c r="G50" s="29">
        <v>0</v>
      </c>
      <c r="H50" s="19">
        <f>+'[1]Kiad-Mód'!F52</f>
        <v>0</v>
      </c>
      <c r="I50" s="11">
        <f t="shared" si="37"/>
        <v>0</v>
      </c>
      <c r="J50" s="9">
        <f t="shared" si="36"/>
        <v>0</v>
      </c>
      <c r="K50" s="29">
        <v>0</v>
      </c>
      <c r="L50" s="3">
        <v>0</v>
      </c>
      <c r="M50" s="26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269">
        <v>0</v>
      </c>
      <c r="T50" s="269">
        <v>0</v>
      </c>
      <c r="U50" s="269">
        <f t="shared" ref="U50:U52" si="39">SUM(S50:T50)</f>
        <v>0</v>
      </c>
    </row>
    <row r="51" spans="1:21" ht="30" x14ac:dyDescent="0.25">
      <c r="A51" s="103">
        <f t="shared" si="9"/>
        <v>48</v>
      </c>
      <c r="B51" s="3"/>
      <c r="C51" s="3"/>
      <c r="D51" s="18" t="s">
        <v>346</v>
      </c>
      <c r="E51" s="19">
        <v>0</v>
      </c>
      <c r="F51" s="3">
        <v>0</v>
      </c>
      <c r="G51" s="29">
        <v>0</v>
      </c>
      <c r="H51" s="19">
        <f>+'[1]Kiad-Mód'!F53</f>
        <v>0</v>
      </c>
      <c r="I51" s="11">
        <f t="shared" si="37"/>
        <v>0</v>
      </c>
      <c r="J51" s="9">
        <f t="shared" si="36"/>
        <v>0</v>
      </c>
      <c r="K51" s="29">
        <v>0</v>
      </c>
      <c r="L51" s="3">
        <v>0</v>
      </c>
      <c r="M51" s="26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269">
        <v>0</v>
      </c>
      <c r="T51" s="269">
        <v>0</v>
      </c>
      <c r="U51" s="269">
        <f t="shared" si="39"/>
        <v>0</v>
      </c>
    </row>
    <row r="52" spans="1:21" x14ac:dyDescent="0.25">
      <c r="A52" s="103">
        <f t="shared" si="9"/>
        <v>49</v>
      </c>
      <c r="B52" s="3"/>
      <c r="C52" s="3"/>
      <c r="D52" s="22" t="s">
        <v>14</v>
      </c>
      <c r="E52" s="19">
        <v>0</v>
      </c>
      <c r="F52" s="3">
        <v>0</v>
      </c>
      <c r="G52" s="29">
        <v>0</v>
      </c>
      <c r="H52" s="19">
        <f>+'[1]Kiad-Mód'!F54</f>
        <v>0</v>
      </c>
      <c r="I52" s="11">
        <f t="shared" si="37"/>
        <v>0</v>
      </c>
      <c r="J52" s="9">
        <f t="shared" si="36"/>
        <v>0</v>
      </c>
      <c r="K52" s="29">
        <v>0</v>
      </c>
      <c r="L52" s="3">
        <v>0</v>
      </c>
      <c r="M52" s="26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269">
        <v>0</v>
      </c>
      <c r="T52" s="269">
        <v>0</v>
      </c>
      <c r="U52" s="269">
        <f t="shared" si="39"/>
        <v>0</v>
      </c>
    </row>
    <row r="53" spans="1:21" x14ac:dyDescent="0.25">
      <c r="A53" s="103">
        <f t="shared" si="9"/>
        <v>50</v>
      </c>
      <c r="B53" s="16" t="s">
        <v>15</v>
      </c>
      <c r="C53" s="16"/>
      <c r="D53" s="16"/>
      <c r="E53" s="11">
        <f>SUM(E54:E56)</f>
        <v>0</v>
      </c>
      <c r="F53" s="3">
        <v>0</v>
      </c>
      <c r="G53" s="29">
        <v>0</v>
      </c>
      <c r="H53" s="11">
        <f>SUM(H54:H56)</f>
        <v>0</v>
      </c>
      <c r="I53" s="11">
        <f t="shared" si="37"/>
        <v>0</v>
      </c>
      <c r="J53" s="9">
        <f t="shared" si="36"/>
        <v>0</v>
      </c>
      <c r="K53" s="29">
        <v>0</v>
      </c>
      <c r="L53" s="3">
        <v>0</v>
      </c>
      <c r="M53" s="26">
        <v>0</v>
      </c>
      <c r="N53" s="9">
        <v>0</v>
      </c>
      <c r="O53" s="111">
        <f>SUM(O54:O56)</f>
        <v>0</v>
      </c>
      <c r="P53" s="111">
        <f>SUM(P54:P56)</f>
        <v>0</v>
      </c>
      <c r="Q53" s="111">
        <f>SUM(Q54:Q56)</f>
        <v>0</v>
      </c>
      <c r="R53" s="111">
        <f>SUM(R54:R56)</f>
        <v>0</v>
      </c>
      <c r="S53" s="112">
        <f>SUM(S54:S56)</f>
        <v>0</v>
      </c>
      <c r="T53" s="112">
        <f t="shared" ref="T53:U53" si="40">SUM(T54:T56)</f>
        <v>0</v>
      </c>
      <c r="U53" s="112">
        <f t="shared" si="40"/>
        <v>0</v>
      </c>
    </row>
    <row r="54" spans="1:21" x14ac:dyDescent="0.25">
      <c r="A54" s="103">
        <f t="shared" si="9"/>
        <v>51</v>
      </c>
      <c r="B54" s="3"/>
      <c r="C54" s="3" t="s">
        <v>16</v>
      </c>
      <c r="D54" s="3"/>
      <c r="E54" s="9">
        <v>0</v>
      </c>
      <c r="F54" s="3">
        <v>0</v>
      </c>
      <c r="G54" s="29">
        <v>0</v>
      </c>
      <c r="H54" s="9">
        <f>+'[1]Kiad-Mód'!F56</f>
        <v>0</v>
      </c>
      <c r="I54" s="11">
        <f t="shared" si="37"/>
        <v>0</v>
      </c>
      <c r="J54" s="9">
        <f t="shared" si="36"/>
        <v>0</v>
      </c>
      <c r="K54" s="29">
        <v>0</v>
      </c>
      <c r="L54" s="3">
        <v>0</v>
      </c>
      <c r="M54" s="26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269">
        <v>0</v>
      </c>
      <c r="T54" s="269">
        <v>0</v>
      </c>
      <c r="U54" s="269">
        <f t="shared" ref="U54:U56" si="41">SUM(S54:T54)</f>
        <v>0</v>
      </c>
    </row>
    <row r="55" spans="1:21" x14ac:dyDescent="0.25">
      <c r="A55" s="103">
        <f t="shared" si="9"/>
        <v>52</v>
      </c>
      <c r="B55" s="3"/>
      <c r="C55" s="3" t="s">
        <v>17</v>
      </c>
      <c r="D55" s="3"/>
      <c r="E55" s="9">
        <v>0</v>
      </c>
      <c r="F55" s="3">
        <v>0</v>
      </c>
      <c r="G55" s="29">
        <v>0</v>
      </c>
      <c r="H55" s="9">
        <f>+'[1]Kiad-Mód'!F57</f>
        <v>0</v>
      </c>
      <c r="I55" s="11">
        <f t="shared" si="37"/>
        <v>0</v>
      </c>
      <c r="J55" s="9">
        <f t="shared" si="36"/>
        <v>0</v>
      </c>
      <c r="K55" s="29">
        <v>0</v>
      </c>
      <c r="L55" s="3">
        <v>0</v>
      </c>
      <c r="M55" s="26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269">
        <v>0</v>
      </c>
      <c r="T55" s="269">
        <v>0</v>
      </c>
      <c r="U55" s="269">
        <f t="shared" si="41"/>
        <v>0</v>
      </c>
    </row>
    <row r="56" spans="1:21" x14ac:dyDescent="0.25">
      <c r="A56" s="103">
        <f t="shared" si="9"/>
        <v>53</v>
      </c>
      <c r="B56" s="3"/>
      <c r="C56" s="3" t="s">
        <v>18</v>
      </c>
      <c r="D56" s="3"/>
      <c r="E56" s="9">
        <v>0</v>
      </c>
      <c r="F56" s="3">
        <v>0</v>
      </c>
      <c r="G56" s="29">
        <v>0</v>
      </c>
      <c r="H56" s="9">
        <f>+'[1]Kiad-Mód'!F58</f>
        <v>0</v>
      </c>
      <c r="I56" s="11">
        <f t="shared" si="37"/>
        <v>0</v>
      </c>
      <c r="J56" s="9">
        <f t="shared" si="36"/>
        <v>0</v>
      </c>
      <c r="K56" s="29">
        <v>0</v>
      </c>
      <c r="L56" s="3">
        <v>0</v>
      </c>
      <c r="M56" s="26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269">
        <v>0</v>
      </c>
      <c r="T56" s="269">
        <v>0</v>
      </c>
      <c r="U56" s="269">
        <f t="shared" si="41"/>
        <v>0</v>
      </c>
    </row>
    <row r="57" spans="1:21" x14ac:dyDescent="0.25">
      <c r="A57" s="103">
        <f t="shared" si="9"/>
        <v>54</v>
      </c>
      <c r="B57" s="16" t="s">
        <v>19</v>
      </c>
      <c r="C57" s="16"/>
      <c r="D57" s="16"/>
      <c r="E57" s="11">
        <f>SUM(E35,E46,E53)</f>
        <v>412605</v>
      </c>
      <c r="F57" s="11">
        <f t="shared" ref="F57" si="42">SUM(F35,F46,F53)</f>
        <v>468218</v>
      </c>
      <c r="G57" s="31">
        <f>SUM(G35,G46,G53)</f>
        <v>493359</v>
      </c>
      <c r="H57" s="11">
        <f>SUM(H35,H46,H53)</f>
        <v>14359</v>
      </c>
      <c r="I57" s="11">
        <f>H57+G57</f>
        <v>507718</v>
      </c>
      <c r="J57" s="11">
        <f t="shared" si="36"/>
        <v>7985</v>
      </c>
      <c r="K57" s="85">
        <f>+K46+K35</f>
        <v>515703</v>
      </c>
      <c r="L57" s="11">
        <f>L46+L35</f>
        <v>37963</v>
      </c>
      <c r="M57" s="31">
        <f>+K57+L57</f>
        <v>553666</v>
      </c>
      <c r="N57" s="49">
        <f>N46+N35</f>
        <v>440231</v>
      </c>
      <c r="O57" s="112">
        <f>SUM(O53,O46,O35)</f>
        <v>463775</v>
      </c>
      <c r="P57" s="112">
        <f>SUM(P53,P46,P35)</f>
        <v>498954</v>
      </c>
      <c r="Q57" s="112">
        <f>SUM(Q53,Q46,Q35)</f>
        <v>618701</v>
      </c>
      <c r="R57" s="112">
        <f>SUM(R53,R46,R35)</f>
        <v>699354</v>
      </c>
      <c r="S57" s="112">
        <f>SUM(S53,S46,S35)</f>
        <v>821463</v>
      </c>
      <c r="T57" s="112">
        <f t="shared" ref="T57:U57" si="43">SUM(T53,T46,T35)</f>
        <v>18191</v>
      </c>
      <c r="U57" s="112">
        <f t="shared" si="43"/>
        <v>839654</v>
      </c>
    </row>
    <row r="58" spans="1:21" ht="68.45" customHeight="1" x14ac:dyDescent="0.25">
      <c r="A58" s="103">
        <f t="shared" si="9"/>
        <v>55</v>
      </c>
      <c r="B58" s="16" t="s">
        <v>21</v>
      </c>
      <c r="C58" s="3"/>
      <c r="D58" s="3"/>
      <c r="E58" s="15" t="s">
        <v>107</v>
      </c>
      <c r="F58" s="6" t="s">
        <v>113</v>
      </c>
      <c r="G58" s="25" t="s">
        <v>114</v>
      </c>
      <c r="H58" s="24" t="s">
        <v>111</v>
      </c>
      <c r="I58" s="6" t="s">
        <v>116</v>
      </c>
      <c r="J58" s="6" t="s">
        <v>111</v>
      </c>
      <c r="K58" s="79" t="s">
        <v>258</v>
      </c>
      <c r="L58" s="6" t="s">
        <v>111</v>
      </c>
      <c r="M58" s="79" t="s">
        <v>262</v>
      </c>
      <c r="N58" s="6" t="str">
        <f t="shared" ref="N58:R58" si="44">N$4</f>
        <v>Előirányzat
4/2020. (III.05.) önkormányzati rendelet</v>
      </c>
      <c r="O58" s="6" t="str">
        <f t="shared" si="44"/>
        <v>Előirányzat
 5./2021. (II.25.) polgármesteri rendelet</v>
      </c>
      <c r="P58" s="6" t="str">
        <f t="shared" si="44"/>
        <v>Előirányzat
3/2022. (II.10.) önkormányzati rendelet</v>
      </c>
      <c r="Q58" s="6" t="str">
        <f t="shared" si="44"/>
        <v>Előirányzat
1./2023. (II.23.) önkormányzati rendelet</v>
      </c>
      <c r="R58" s="6" t="str">
        <f t="shared" si="44"/>
        <v>Előirányzat
1./2024. (II)22. önkormányzati rendelet</v>
      </c>
      <c r="S58" s="266" t="str">
        <f ca="1">S$4</f>
        <v>Előirányzat
2/2025. (II.20.) önkormányzati rendelet</v>
      </c>
      <c r="T58" s="266" t="s">
        <v>111</v>
      </c>
      <c r="U58" s="266" t="s">
        <v>384</v>
      </c>
    </row>
    <row r="59" spans="1:21" x14ac:dyDescent="0.25">
      <c r="A59" s="103">
        <f t="shared" si="9"/>
        <v>56</v>
      </c>
      <c r="B59" s="16" t="s">
        <v>25</v>
      </c>
      <c r="C59" s="3"/>
      <c r="D59" s="3"/>
      <c r="E59" s="9"/>
      <c r="F59" s="3"/>
      <c r="G59" s="29"/>
      <c r="H59" s="3"/>
      <c r="I59" s="3"/>
      <c r="J59" s="3"/>
      <c r="K59" s="26"/>
      <c r="L59" s="3"/>
      <c r="M59" s="26"/>
      <c r="N59" s="3"/>
      <c r="O59" s="9"/>
      <c r="P59" s="9"/>
      <c r="Q59" s="9"/>
      <c r="R59" s="9"/>
      <c r="S59" s="269"/>
      <c r="T59" s="269"/>
      <c r="U59" s="269"/>
    </row>
    <row r="60" spans="1:21" x14ac:dyDescent="0.25">
      <c r="A60" s="103">
        <f t="shared" si="9"/>
        <v>57</v>
      </c>
      <c r="B60" s="16"/>
      <c r="C60" s="3" t="s">
        <v>26</v>
      </c>
      <c r="D60" s="3"/>
      <c r="E60" s="9"/>
      <c r="F60" s="3"/>
      <c r="G60" s="29"/>
      <c r="H60" s="3"/>
      <c r="I60" s="3"/>
      <c r="J60" s="9"/>
      <c r="K60" s="29"/>
      <c r="L60" s="3"/>
      <c r="M60" s="26"/>
      <c r="N60" s="3"/>
      <c r="O60" s="9"/>
      <c r="P60" s="9"/>
      <c r="Q60" s="9"/>
      <c r="R60" s="9"/>
      <c r="S60" s="269"/>
      <c r="T60" s="269"/>
      <c r="U60" s="269"/>
    </row>
    <row r="61" spans="1:21" x14ac:dyDescent="0.25">
      <c r="A61" s="103">
        <f t="shared" si="9"/>
        <v>58</v>
      </c>
      <c r="B61" s="16" t="s">
        <v>8</v>
      </c>
      <c r="C61" s="16"/>
      <c r="D61" s="16"/>
      <c r="E61" s="11">
        <f>SUM(E66,E65,E64,E63,E62)</f>
        <v>303208</v>
      </c>
      <c r="F61" s="11">
        <f t="shared" ref="F61:G61" si="45">SUM(F66,F65,F64,F63,F62)</f>
        <v>308312</v>
      </c>
      <c r="G61" s="31">
        <f t="shared" si="45"/>
        <v>322382</v>
      </c>
      <c r="H61" s="11">
        <f>H62+H63+H64</f>
        <v>1416</v>
      </c>
      <c r="I61" s="11">
        <f>H61+G61</f>
        <v>323798</v>
      </c>
      <c r="J61" s="11">
        <f>J62+J63</f>
        <v>973</v>
      </c>
      <c r="K61" s="31">
        <f>J61+I61</f>
        <v>324771</v>
      </c>
      <c r="L61" s="3">
        <f>L62+L63</f>
        <v>109</v>
      </c>
      <c r="M61" s="31">
        <f>K61+L61</f>
        <v>324880</v>
      </c>
      <c r="N61" s="11">
        <f>N62+N63+N64</f>
        <v>336000</v>
      </c>
      <c r="O61" s="111">
        <f>SUM(O62:O66)</f>
        <v>386873</v>
      </c>
      <c r="P61" s="111">
        <f>SUM(P62:P66)</f>
        <v>394562</v>
      </c>
      <c r="Q61" s="111">
        <f>SUM(Q62:Q66)</f>
        <v>457521</v>
      </c>
      <c r="R61" s="111">
        <f>SUM(R62:R66)</f>
        <v>581664</v>
      </c>
      <c r="S61" s="112">
        <f>SUM(S62:S66)</f>
        <v>731635</v>
      </c>
      <c r="T61" s="112">
        <f t="shared" ref="T61:U61" si="46">SUM(T62:T66)</f>
        <v>-41143</v>
      </c>
      <c r="U61" s="112">
        <f t="shared" si="46"/>
        <v>690492</v>
      </c>
    </row>
    <row r="62" spans="1:21" x14ac:dyDescent="0.25">
      <c r="A62" s="103">
        <f t="shared" si="9"/>
        <v>59</v>
      </c>
      <c r="B62" s="3"/>
      <c r="C62" s="3" t="s">
        <v>2</v>
      </c>
      <c r="D62" s="3"/>
      <c r="E62" s="9">
        <v>229273</v>
      </c>
      <c r="F62" s="9">
        <v>236313</v>
      </c>
      <c r="G62" s="29">
        <v>241981</v>
      </c>
      <c r="H62" s="9">
        <v>729</v>
      </c>
      <c r="I62" s="9">
        <f t="shared" ref="I62:I83" si="47">H62+G62</f>
        <v>242710</v>
      </c>
      <c r="J62" s="9">
        <v>852</v>
      </c>
      <c r="K62" s="29">
        <f t="shared" ref="K62:K63" si="48">J62+I62</f>
        <v>243562</v>
      </c>
      <c r="L62" s="3">
        <v>93</v>
      </c>
      <c r="M62" s="29">
        <f>K62+L62</f>
        <v>243655</v>
      </c>
      <c r="N62" s="9">
        <v>259311</v>
      </c>
      <c r="O62" s="9">
        <v>308500</v>
      </c>
      <c r="P62" s="9">
        <v>321619</v>
      </c>
      <c r="Q62" s="9">
        <v>357320</v>
      </c>
      <c r="R62" s="9">
        <v>442606</v>
      </c>
      <c r="S62" s="269">
        <v>566621</v>
      </c>
      <c r="T62" s="269">
        <v>-24719</v>
      </c>
      <c r="U62" s="269">
        <f t="shared" ref="U62:U65" si="49">SUM(S62:T62)</f>
        <v>541902</v>
      </c>
    </row>
    <row r="63" spans="1:21" x14ac:dyDescent="0.25">
      <c r="A63" s="103">
        <f t="shared" si="9"/>
        <v>60</v>
      </c>
      <c r="B63" s="3"/>
      <c r="C63" s="3" t="s">
        <v>1</v>
      </c>
      <c r="D63" s="3"/>
      <c r="E63" s="9">
        <v>48290</v>
      </c>
      <c r="F63" s="9">
        <v>50543</v>
      </c>
      <c r="G63" s="29">
        <v>53118</v>
      </c>
      <c r="H63" s="9">
        <v>71</v>
      </c>
      <c r="I63" s="9">
        <f t="shared" si="47"/>
        <v>53189</v>
      </c>
      <c r="J63" s="9">
        <v>121</v>
      </c>
      <c r="K63" s="29">
        <f t="shared" si="48"/>
        <v>53310</v>
      </c>
      <c r="L63" s="3">
        <v>16</v>
      </c>
      <c r="M63" s="29">
        <f>K63+L63</f>
        <v>53326</v>
      </c>
      <c r="N63" s="9">
        <v>52364</v>
      </c>
      <c r="O63" s="9">
        <v>52734</v>
      </c>
      <c r="P63" s="9">
        <v>46033</v>
      </c>
      <c r="Q63" s="9">
        <v>55958</v>
      </c>
      <c r="R63" s="9">
        <v>66932</v>
      </c>
      <c r="S63" s="269">
        <v>85355</v>
      </c>
      <c r="T63" s="269">
        <v>-3211</v>
      </c>
      <c r="U63" s="269">
        <f t="shared" si="49"/>
        <v>82144</v>
      </c>
    </row>
    <row r="64" spans="1:21" x14ac:dyDescent="0.25">
      <c r="A64" s="103">
        <f t="shared" si="9"/>
        <v>61</v>
      </c>
      <c r="B64" s="3"/>
      <c r="C64" s="3" t="s">
        <v>4</v>
      </c>
      <c r="D64" s="3"/>
      <c r="E64" s="9">
        <v>25645</v>
      </c>
      <c r="F64" s="9">
        <v>21456</v>
      </c>
      <c r="G64" s="29">
        <v>27283</v>
      </c>
      <c r="H64" s="9">
        <v>616</v>
      </c>
      <c r="I64" s="9">
        <f t="shared" si="47"/>
        <v>27899</v>
      </c>
      <c r="J64" s="9">
        <v>0</v>
      </c>
      <c r="K64" s="29">
        <f>I64</f>
        <v>27899</v>
      </c>
      <c r="L64" s="3">
        <v>0</v>
      </c>
      <c r="M64" s="26">
        <v>27899</v>
      </c>
      <c r="N64" s="9">
        <v>24325</v>
      </c>
      <c r="O64" s="9">
        <v>25639</v>
      </c>
      <c r="P64" s="9">
        <v>26910</v>
      </c>
      <c r="Q64" s="9">
        <v>44243</v>
      </c>
      <c r="R64" s="9">
        <v>72126</v>
      </c>
      <c r="S64" s="269">
        <v>79659</v>
      </c>
      <c r="T64" s="269">
        <v>-13213</v>
      </c>
      <c r="U64" s="269">
        <f t="shared" si="49"/>
        <v>66446</v>
      </c>
    </row>
    <row r="65" spans="1:21" x14ac:dyDescent="0.25">
      <c r="A65" s="103">
        <f t="shared" si="9"/>
        <v>62</v>
      </c>
      <c r="B65" s="3"/>
      <c r="C65" s="3" t="s">
        <v>3</v>
      </c>
      <c r="D65" s="3"/>
      <c r="E65" s="9">
        <v>0</v>
      </c>
      <c r="F65" s="3">
        <v>0</v>
      </c>
      <c r="G65" s="29">
        <v>0</v>
      </c>
      <c r="H65" s="9">
        <f>+'[1]Kiad-Mód'!F69</f>
        <v>0</v>
      </c>
      <c r="I65" s="9">
        <f t="shared" si="47"/>
        <v>0</v>
      </c>
      <c r="J65" s="9">
        <v>0</v>
      </c>
      <c r="K65" s="29">
        <v>0</v>
      </c>
      <c r="L65" s="3">
        <v>0</v>
      </c>
      <c r="M65" s="26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269">
        <v>0</v>
      </c>
      <c r="T65" s="269">
        <v>0</v>
      </c>
      <c r="U65" s="269">
        <f t="shared" si="49"/>
        <v>0</v>
      </c>
    </row>
    <row r="66" spans="1:21" x14ac:dyDescent="0.25">
      <c r="A66" s="103">
        <f t="shared" si="9"/>
        <v>63</v>
      </c>
      <c r="B66" s="3"/>
      <c r="C66" s="3" t="s">
        <v>5</v>
      </c>
      <c r="D66" s="3"/>
      <c r="E66" s="9">
        <f>SUM(E67:E71)</f>
        <v>0</v>
      </c>
      <c r="F66" s="3">
        <v>0</v>
      </c>
      <c r="G66" s="29">
        <v>0</v>
      </c>
      <c r="H66" s="9">
        <f>SUM(H67:H71)</f>
        <v>0</v>
      </c>
      <c r="I66" s="9">
        <f t="shared" si="47"/>
        <v>0</v>
      </c>
      <c r="J66" s="9">
        <v>0</v>
      </c>
      <c r="K66" s="29">
        <v>0</v>
      </c>
      <c r="L66" s="3">
        <v>0</v>
      </c>
      <c r="M66" s="26">
        <v>0</v>
      </c>
      <c r="N66" s="9">
        <v>0</v>
      </c>
      <c r="O66" s="110">
        <f>SUM(O67:O71)</f>
        <v>0</v>
      </c>
      <c r="P66" s="110">
        <f>SUM(P67:P71)</f>
        <v>0</v>
      </c>
      <c r="Q66" s="110">
        <f>SUM(Q67:Q71)</f>
        <v>0</v>
      </c>
      <c r="R66" s="110">
        <f>SUM(R67:R71)</f>
        <v>0</v>
      </c>
      <c r="S66" s="272">
        <f>SUM(S67:S71)</f>
        <v>0</v>
      </c>
      <c r="T66" s="272">
        <f t="shared" ref="T66:U66" si="50">SUM(T67:T71)</f>
        <v>0</v>
      </c>
      <c r="U66" s="272">
        <f t="shared" si="50"/>
        <v>0</v>
      </c>
    </row>
    <row r="67" spans="1:21" x14ac:dyDescent="0.25">
      <c r="A67" s="103">
        <f t="shared" si="9"/>
        <v>64</v>
      </c>
      <c r="B67" s="3"/>
      <c r="C67" s="3"/>
      <c r="D67" s="23" t="s">
        <v>20</v>
      </c>
      <c r="E67" s="19">
        <v>0</v>
      </c>
      <c r="F67" s="3">
        <v>0</v>
      </c>
      <c r="G67" s="29">
        <v>0</v>
      </c>
      <c r="H67" s="19">
        <f>+'[1]Kiad-Mód'!F71</f>
        <v>0</v>
      </c>
      <c r="I67" s="9">
        <f t="shared" si="47"/>
        <v>0</v>
      </c>
      <c r="J67" s="9">
        <v>0</v>
      </c>
      <c r="K67" s="29">
        <v>0</v>
      </c>
      <c r="L67" s="3">
        <v>0</v>
      </c>
      <c r="M67" s="26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269">
        <v>0</v>
      </c>
      <c r="T67" s="269">
        <v>0</v>
      </c>
      <c r="U67" s="269">
        <f t="shared" ref="U67:U71" si="51">SUM(S67:T67)</f>
        <v>0</v>
      </c>
    </row>
    <row r="68" spans="1:21" x14ac:dyDescent="0.25">
      <c r="A68" s="103">
        <f t="shared" si="9"/>
        <v>65</v>
      </c>
      <c r="B68" s="3"/>
      <c r="C68" s="3"/>
      <c r="D68" s="22" t="s">
        <v>358</v>
      </c>
      <c r="E68" s="19">
        <v>0</v>
      </c>
      <c r="F68" s="3">
        <v>0</v>
      </c>
      <c r="G68" s="29">
        <v>0</v>
      </c>
      <c r="H68" s="19">
        <f>+'[1]Kiad-Mód'!F72</f>
        <v>0</v>
      </c>
      <c r="I68" s="9">
        <f t="shared" si="47"/>
        <v>0</v>
      </c>
      <c r="J68" s="9">
        <v>0</v>
      </c>
      <c r="K68" s="29">
        <v>0</v>
      </c>
      <c r="L68" s="3">
        <v>0</v>
      </c>
      <c r="M68" s="26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269">
        <v>0</v>
      </c>
      <c r="T68" s="269">
        <v>0</v>
      </c>
      <c r="U68" s="269">
        <f t="shared" si="51"/>
        <v>0</v>
      </c>
    </row>
    <row r="69" spans="1:21" x14ac:dyDescent="0.25">
      <c r="A69" s="103">
        <f t="shared" si="9"/>
        <v>66</v>
      </c>
      <c r="B69" s="3"/>
      <c r="C69" s="3"/>
      <c r="D69" s="22" t="s">
        <v>359</v>
      </c>
      <c r="E69" s="19">
        <v>0</v>
      </c>
      <c r="F69" s="3">
        <v>0</v>
      </c>
      <c r="G69" s="29">
        <v>0</v>
      </c>
      <c r="H69" s="19">
        <f>+'[1]Kiad-Mód'!F73</f>
        <v>0</v>
      </c>
      <c r="I69" s="9">
        <f t="shared" si="47"/>
        <v>0</v>
      </c>
      <c r="J69" s="9">
        <v>0</v>
      </c>
      <c r="K69" s="29">
        <v>0</v>
      </c>
      <c r="L69" s="3">
        <v>0</v>
      </c>
      <c r="M69" s="26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269">
        <v>0</v>
      </c>
      <c r="T69" s="269">
        <v>0</v>
      </c>
      <c r="U69" s="269">
        <f t="shared" si="51"/>
        <v>0</v>
      </c>
    </row>
    <row r="70" spans="1:21" x14ac:dyDescent="0.25">
      <c r="A70" s="103">
        <f t="shared" si="9"/>
        <v>67</v>
      </c>
      <c r="B70" s="3"/>
      <c r="C70" s="3"/>
      <c r="D70" s="22" t="s">
        <v>6</v>
      </c>
      <c r="E70" s="19">
        <v>0</v>
      </c>
      <c r="F70" s="3">
        <v>0</v>
      </c>
      <c r="G70" s="29">
        <v>0</v>
      </c>
      <c r="H70" s="19">
        <f>+'[1]Kiad-Mód'!F74</f>
        <v>0</v>
      </c>
      <c r="I70" s="9">
        <f t="shared" si="47"/>
        <v>0</v>
      </c>
      <c r="J70" s="9">
        <v>0</v>
      </c>
      <c r="K70" s="29">
        <v>0</v>
      </c>
      <c r="L70" s="3">
        <v>0</v>
      </c>
      <c r="M70" s="26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269">
        <v>0</v>
      </c>
      <c r="T70" s="269">
        <v>0</v>
      </c>
      <c r="U70" s="269">
        <f t="shared" si="51"/>
        <v>0</v>
      </c>
    </row>
    <row r="71" spans="1:21" x14ac:dyDescent="0.25">
      <c r="A71" s="103">
        <f t="shared" si="9"/>
        <v>68</v>
      </c>
      <c r="B71" s="3"/>
      <c r="C71" s="3"/>
      <c r="D71" s="22" t="s">
        <v>7</v>
      </c>
      <c r="E71" s="19">
        <v>0</v>
      </c>
      <c r="F71" s="3">
        <v>0</v>
      </c>
      <c r="G71" s="29">
        <v>0</v>
      </c>
      <c r="H71" s="19">
        <f>+'[1]Kiad-Mód'!F75</f>
        <v>0</v>
      </c>
      <c r="I71" s="9">
        <f t="shared" si="47"/>
        <v>0</v>
      </c>
      <c r="J71" s="9">
        <v>0</v>
      </c>
      <c r="K71" s="29">
        <v>0</v>
      </c>
      <c r="L71" s="3">
        <v>0</v>
      </c>
      <c r="M71" s="26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269">
        <v>0</v>
      </c>
      <c r="T71" s="269">
        <v>0</v>
      </c>
      <c r="U71" s="269">
        <f t="shared" si="51"/>
        <v>0</v>
      </c>
    </row>
    <row r="72" spans="1:21" ht="14.25" customHeight="1" x14ac:dyDescent="0.25">
      <c r="A72" s="103">
        <f t="shared" si="9"/>
        <v>69</v>
      </c>
      <c r="B72" s="16" t="s">
        <v>9</v>
      </c>
      <c r="C72" s="16"/>
      <c r="D72" s="16"/>
      <c r="E72" s="11">
        <f>SUM(E75,E74,E73)</f>
        <v>1397</v>
      </c>
      <c r="F72" s="11">
        <f t="shared" ref="F72:G72" si="52">SUM(F75,F74,F73)</f>
        <v>1722</v>
      </c>
      <c r="G72" s="31">
        <f t="shared" si="52"/>
        <v>1618</v>
      </c>
      <c r="H72" s="11">
        <f>SUM(H75,H74,H73)</f>
        <v>0</v>
      </c>
      <c r="I72" s="11">
        <f t="shared" si="47"/>
        <v>1618</v>
      </c>
      <c r="J72" s="9">
        <v>0</v>
      </c>
      <c r="K72" s="31">
        <v>1618</v>
      </c>
      <c r="L72" s="3">
        <v>0</v>
      </c>
      <c r="M72" s="82">
        <v>1618</v>
      </c>
      <c r="N72" s="11">
        <v>0</v>
      </c>
      <c r="O72" s="111">
        <f>SUM(O73:O75)</f>
        <v>0</v>
      </c>
      <c r="P72" s="111">
        <f>SUM(P73:P75)</f>
        <v>0</v>
      </c>
      <c r="Q72" s="111">
        <f>SUM(Q73:Q75)</f>
        <v>0</v>
      </c>
      <c r="R72" s="111">
        <f>SUM(R73:R75)</f>
        <v>6477</v>
      </c>
      <c r="S72" s="112">
        <f>SUM(S73:S75)</f>
        <v>2794</v>
      </c>
      <c r="T72" s="112">
        <f t="shared" ref="T72:U72" si="53">SUM(T73:T75)</f>
        <v>10217</v>
      </c>
      <c r="U72" s="112">
        <f t="shared" si="53"/>
        <v>13011</v>
      </c>
    </row>
    <row r="73" spans="1:21" x14ac:dyDescent="0.25">
      <c r="A73" s="103">
        <f t="shared" si="9"/>
        <v>70</v>
      </c>
      <c r="B73" s="3"/>
      <c r="C73" s="3" t="s">
        <v>10</v>
      </c>
      <c r="D73" s="3"/>
      <c r="E73" s="9">
        <v>1397</v>
      </c>
      <c r="F73" s="9">
        <v>1722</v>
      </c>
      <c r="G73" s="29">
        <v>1618</v>
      </c>
      <c r="H73" s="9">
        <f>+'[1]Kiad-Mód'!F77</f>
        <v>0</v>
      </c>
      <c r="I73" s="9">
        <f t="shared" si="47"/>
        <v>1618</v>
      </c>
      <c r="J73" s="9">
        <v>0</v>
      </c>
      <c r="K73" s="29">
        <v>1618</v>
      </c>
      <c r="L73" s="3">
        <v>0</v>
      </c>
      <c r="M73" s="26">
        <v>1618</v>
      </c>
      <c r="N73" s="9">
        <v>0</v>
      </c>
      <c r="O73" s="9">
        <v>0</v>
      </c>
      <c r="P73" s="9">
        <v>0</v>
      </c>
      <c r="Q73" s="9">
        <v>0</v>
      </c>
      <c r="R73" s="9">
        <v>6477</v>
      </c>
      <c r="S73" s="269">
        <v>2794</v>
      </c>
      <c r="T73" s="269">
        <v>0</v>
      </c>
      <c r="U73" s="269">
        <f t="shared" ref="U73:U74" si="54">SUM(S73:T73)</f>
        <v>2794</v>
      </c>
    </row>
    <row r="74" spans="1:21" x14ac:dyDescent="0.25">
      <c r="A74" s="103">
        <f t="shared" si="9"/>
        <v>71</v>
      </c>
      <c r="B74" s="3"/>
      <c r="C74" s="3" t="s">
        <v>11</v>
      </c>
      <c r="D74" s="3"/>
      <c r="E74" s="9">
        <v>0</v>
      </c>
      <c r="F74" s="3">
        <v>0</v>
      </c>
      <c r="G74" s="29">
        <v>0</v>
      </c>
      <c r="H74" s="9">
        <f>+'[1]Kiad-Mód'!F78</f>
        <v>0</v>
      </c>
      <c r="I74" s="9">
        <f t="shared" si="47"/>
        <v>0</v>
      </c>
      <c r="J74" s="9">
        <v>0</v>
      </c>
      <c r="K74" s="29">
        <v>0</v>
      </c>
      <c r="L74" s="3">
        <v>0</v>
      </c>
      <c r="M74" s="26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269">
        <v>0</v>
      </c>
      <c r="T74" s="269">
        <v>10217</v>
      </c>
      <c r="U74" s="269">
        <f t="shared" si="54"/>
        <v>10217</v>
      </c>
    </row>
    <row r="75" spans="1:21" x14ac:dyDescent="0.25">
      <c r="A75" s="103">
        <f t="shared" si="9"/>
        <v>72</v>
      </c>
      <c r="B75" s="3"/>
      <c r="C75" s="3" t="s">
        <v>12</v>
      </c>
      <c r="D75" s="3"/>
      <c r="E75" s="9">
        <v>0</v>
      </c>
      <c r="F75" s="3">
        <v>0</v>
      </c>
      <c r="G75" s="29">
        <v>0</v>
      </c>
      <c r="H75" s="9">
        <f>SUM(H76:H78)</f>
        <v>0</v>
      </c>
      <c r="I75" s="9">
        <f t="shared" si="47"/>
        <v>0</v>
      </c>
      <c r="J75" s="9">
        <v>0</v>
      </c>
      <c r="K75" s="29">
        <v>0</v>
      </c>
      <c r="L75" s="3">
        <v>0</v>
      </c>
      <c r="M75" s="26">
        <v>0</v>
      </c>
      <c r="N75" s="9">
        <v>0</v>
      </c>
      <c r="O75" s="110">
        <f>SUM(O76:O78)</f>
        <v>0</v>
      </c>
      <c r="P75" s="110">
        <f>SUM(P76:P78)</f>
        <v>0</v>
      </c>
      <c r="Q75" s="110">
        <f>SUM(Q76:Q78)</f>
        <v>0</v>
      </c>
      <c r="R75" s="110">
        <f>SUM(R76:R78)</f>
        <v>0</v>
      </c>
      <c r="S75" s="272">
        <f>SUM(S76:S78)</f>
        <v>0</v>
      </c>
      <c r="T75" s="272">
        <f t="shared" ref="T75:U75" si="55">SUM(T76:T78)</f>
        <v>0</v>
      </c>
      <c r="U75" s="272">
        <f t="shared" si="55"/>
        <v>0</v>
      </c>
    </row>
    <row r="76" spans="1:21" x14ac:dyDescent="0.25">
      <c r="A76" s="103">
        <f t="shared" si="9"/>
        <v>73</v>
      </c>
      <c r="B76" s="3"/>
      <c r="C76" s="3"/>
      <c r="D76" s="22" t="s">
        <v>13</v>
      </c>
      <c r="E76" s="19">
        <v>0</v>
      </c>
      <c r="F76" s="3">
        <v>0</v>
      </c>
      <c r="G76" s="29">
        <v>0</v>
      </c>
      <c r="H76" s="19">
        <f>+'[1]Kiad-Mód'!F80</f>
        <v>0</v>
      </c>
      <c r="I76" s="9">
        <f t="shared" si="47"/>
        <v>0</v>
      </c>
      <c r="J76" s="9">
        <v>0</v>
      </c>
      <c r="K76" s="29">
        <v>0</v>
      </c>
      <c r="L76" s="3">
        <v>0</v>
      </c>
      <c r="M76" s="26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269">
        <v>0</v>
      </c>
      <c r="T76" s="269">
        <v>0</v>
      </c>
      <c r="U76" s="269">
        <f t="shared" ref="U76:U78" si="56">SUM(S76:T76)</f>
        <v>0</v>
      </c>
    </row>
    <row r="77" spans="1:21" ht="30" x14ac:dyDescent="0.25">
      <c r="A77" s="103">
        <f t="shared" si="9"/>
        <v>74</v>
      </c>
      <c r="B77" s="3"/>
      <c r="C77" s="3"/>
      <c r="D77" s="18" t="s">
        <v>346</v>
      </c>
      <c r="E77" s="19">
        <v>0</v>
      </c>
      <c r="F77" s="3">
        <v>0</v>
      </c>
      <c r="G77" s="29">
        <v>0</v>
      </c>
      <c r="H77" s="19">
        <f>+'[1]Kiad-Mód'!F81</f>
        <v>0</v>
      </c>
      <c r="I77" s="9">
        <f t="shared" si="47"/>
        <v>0</v>
      </c>
      <c r="J77" s="9">
        <v>0</v>
      </c>
      <c r="K77" s="29">
        <v>0</v>
      </c>
      <c r="L77" s="3">
        <v>0</v>
      </c>
      <c r="M77" s="26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269">
        <v>0</v>
      </c>
      <c r="T77" s="269">
        <v>0</v>
      </c>
      <c r="U77" s="269">
        <f t="shared" si="56"/>
        <v>0</v>
      </c>
    </row>
    <row r="78" spans="1:21" x14ac:dyDescent="0.25">
      <c r="A78" s="103">
        <f t="shared" si="9"/>
        <v>75</v>
      </c>
      <c r="B78" s="3"/>
      <c r="C78" s="3"/>
      <c r="D78" s="22" t="s">
        <v>14</v>
      </c>
      <c r="E78" s="19">
        <v>0</v>
      </c>
      <c r="F78" s="3">
        <v>0</v>
      </c>
      <c r="G78" s="29">
        <v>0</v>
      </c>
      <c r="H78" s="19">
        <f>+'[1]Kiad-Mód'!F82</f>
        <v>0</v>
      </c>
      <c r="I78" s="9">
        <f t="shared" si="47"/>
        <v>0</v>
      </c>
      <c r="J78" s="9">
        <v>0</v>
      </c>
      <c r="K78" s="29">
        <v>0</v>
      </c>
      <c r="L78" s="3">
        <v>0</v>
      </c>
      <c r="M78" s="26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269">
        <v>0</v>
      </c>
      <c r="T78" s="269">
        <v>0</v>
      </c>
      <c r="U78" s="269">
        <f t="shared" si="56"/>
        <v>0</v>
      </c>
    </row>
    <row r="79" spans="1:21" x14ac:dyDescent="0.25">
      <c r="A79" s="103">
        <f t="shared" ref="A79:A142" si="57">A78+1</f>
        <v>76</v>
      </c>
      <c r="B79" s="16" t="s">
        <v>15</v>
      </c>
      <c r="C79" s="16"/>
      <c r="D79" s="16"/>
      <c r="E79" s="11">
        <f>SUM(E80:E82)</f>
        <v>0</v>
      </c>
      <c r="F79" s="3">
        <v>0</v>
      </c>
      <c r="G79" s="29">
        <v>0</v>
      </c>
      <c r="H79" s="11">
        <f>SUM(H80:H82)</f>
        <v>0</v>
      </c>
      <c r="I79" s="9">
        <f t="shared" si="47"/>
        <v>0</v>
      </c>
      <c r="J79" s="9">
        <v>0</v>
      </c>
      <c r="K79" s="29">
        <v>0</v>
      </c>
      <c r="L79" s="3">
        <v>0</v>
      </c>
      <c r="M79" s="26">
        <v>0</v>
      </c>
      <c r="N79" s="9">
        <v>0</v>
      </c>
      <c r="O79" s="111">
        <f>SUM(O80:O82)</f>
        <v>0</v>
      </c>
      <c r="P79" s="111">
        <f>SUM(P80:P82)</f>
        <v>0</v>
      </c>
      <c r="Q79" s="111">
        <f>SUM(Q80:Q82)</f>
        <v>0</v>
      </c>
      <c r="R79" s="111">
        <f>SUM(R80:R82)</f>
        <v>0</v>
      </c>
      <c r="S79" s="112">
        <f>SUM(S80:S82)</f>
        <v>0</v>
      </c>
      <c r="T79" s="112">
        <f t="shared" ref="T79:U79" si="58">SUM(T80:T82)</f>
        <v>0</v>
      </c>
      <c r="U79" s="112">
        <f t="shared" si="58"/>
        <v>0</v>
      </c>
    </row>
    <row r="80" spans="1:21" x14ac:dyDescent="0.25">
      <c r="A80" s="103">
        <f t="shared" si="57"/>
        <v>77</v>
      </c>
      <c r="B80" s="3"/>
      <c r="C80" s="3" t="s">
        <v>16</v>
      </c>
      <c r="D80" s="3"/>
      <c r="E80" s="9">
        <v>0</v>
      </c>
      <c r="F80" s="3">
        <v>0</v>
      </c>
      <c r="G80" s="29">
        <v>0</v>
      </c>
      <c r="H80" s="9">
        <f>+'[1]Kiad-Mód'!F84</f>
        <v>0</v>
      </c>
      <c r="I80" s="9">
        <f t="shared" si="47"/>
        <v>0</v>
      </c>
      <c r="J80" s="9">
        <v>0</v>
      </c>
      <c r="K80" s="29">
        <v>0</v>
      </c>
      <c r="L80" s="3">
        <v>0</v>
      </c>
      <c r="M80" s="26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269">
        <v>0</v>
      </c>
      <c r="T80" s="269">
        <v>0</v>
      </c>
      <c r="U80" s="269">
        <f t="shared" ref="U80:U82" si="59">SUM(S80:T80)</f>
        <v>0</v>
      </c>
    </row>
    <row r="81" spans="1:21" x14ac:dyDescent="0.25">
      <c r="A81" s="103">
        <f t="shared" si="57"/>
        <v>78</v>
      </c>
      <c r="B81" s="3"/>
      <c r="C81" s="3" t="s">
        <v>17</v>
      </c>
      <c r="D81" s="3"/>
      <c r="E81" s="9">
        <v>0</v>
      </c>
      <c r="F81" s="3">
        <v>0</v>
      </c>
      <c r="G81" s="29">
        <v>0</v>
      </c>
      <c r="H81" s="9">
        <f>+'[1]Kiad-Mód'!F85</f>
        <v>0</v>
      </c>
      <c r="I81" s="9">
        <f t="shared" si="47"/>
        <v>0</v>
      </c>
      <c r="J81" s="9">
        <v>0</v>
      </c>
      <c r="K81" s="29">
        <v>0</v>
      </c>
      <c r="L81" s="3">
        <v>0</v>
      </c>
      <c r="M81" s="26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269">
        <v>0</v>
      </c>
      <c r="T81" s="269">
        <v>0</v>
      </c>
      <c r="U81" s="269">
        <f t="shared" si="59"/>
        <v>0</v>
      </c>
    </row>
    <row r="82" spans="1:21" x14ac:dyDescent="0.25">
      <c r="A82" s="103">
        <f t="shared" si="57"/>
        <v>79</v>
      </c>
      <c r="B82" s="3"/>
      <c r="C82" s="3" t="s">
        <v>18</v>
      </c>
      <c r="D82" s="3"/>
      <c r="E82" s="9">
        <v>0</v>
      </c>
      <c r="F82" s="3">
        <v>0</v>
      </c>
      <c r="G82" s="29">
        <v>0</v>
      </c>
      <c r="H82" s="9">
        <f>+'[1]Kiad-Mód'!F86</f>
        <v>0</v>
      </c>
      <c r="I82" s="9">
        <f t="shared" si="47"/>
        <v>0</v>
      </c>
      <c r="J82" s="9">
        <v>0</v>
      </c>
      <c r="K82" s="29">
        <v>0</v>
      </c>
      <c r="L82" s="3">
        <v>0</v>
      </c>
      <c r="M82" s="26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269">
        <v>0</v>
      </c>
      <c r="T82" s="269">
        <v>0</v>
      </c>
      <c r="U82" s="269">
        <f t="shared" si="59"/>
        <v>0</v>
      </c>
    </row>
    <row r="83" spans="1:21" x14ac:dyDescent="0.25">
      <c r="A83" s="103">
        <f t="shared" si="57"/>
        <v>80</v>
      </c>
      <c r="B83" s="16" t="s">
        <v>19</v>
      </c>
      <c r="C83" s="16"/>
      <c r="D83" s="16"/>
      <c r="E83" s="11">
        <f>SUM(E61,E72,E79)</f>
        <v>304605</v>
      </c>
      <c r="F83" s="11">
        <f t="shared" ref="F83:G83" si="60">SUM(F61,F72,F79)</f>
        <v>310034</v>
      </c>
      <c r="G83" s="31">
        <f t="shared" si="60"/>
        <v>324000</v>
      </c>
      <c r="H83" s="11">
        <f>SUM(H61,H72,H79)</f>
        <v>1416</v>
      </c>
      <c r="I83" s="11">
        <f t="shared" si="47"/>
        <v>325416</v>
      </c>
      <c r="J83" s="11">
        <f>J61</f>
        <v>973</v>
      </c>
      <c r="K83" s="31">
        <f>J83+I83</f>
        <v>326389</v>
      </c>
      <c r="L83" s="3">
        <f>L61</f>
        <v>109</v>
      </c>
      <c r="M83" s="31">
        <f>K83+L83</f>
        <v>326498</v>
      </c>
      <c r="N83" s="11">
        <v>336000</v>
      </c>
      <c r="O83" s="112">
        <f>SUM(O79,O72,O61)</f>
        <v>386873</v>
      </c>
      <c r="P83" s="112">
        <f>SUM(P79,P72,P61)</f>
        <v>394562</v>
      </c>
      <c r="Q83" s="112">
        <f>SUM(Q79,Q72,Q61)</f>
        <v>457521</v>
      </c>
      <c r="R83" s="112">
        <f>SUM(R79,R72,R61)</f>
        <v>588141</v>
      </c>
      <c r="S83" s="112">
        <f>SUM(S79,S72,S61)</f>
        <v>734429</v>
      </c>
      <c r="T83" s="112">
        <f t="shared" ref="T83:U83" si="61">SUM(T79,T72,T61)</f>
        <v>-30926</v>
      </c>
      <c r="U83" s="112">
        <f t="shared" si="61"/>
        <v>703503</v>
      </c>
    </row>
    <row r="84" spans="1:21" ht="71.099999999999994" customHeight="1" x14ac:dyDescent="0.25">
      <c r="A84" s="103">
        <f t="shared" si="57"/>
        <v>81</v>
      </c>
      <c r="B84" s="16" t="s">
        <v>22</v>
      </c>
      <c r="C84" s="3"/>
      <c r="D84" s="3"/>
      <c r="E84" s="15" t="s">
        <v>107</v>
      </c>
      <c r="F84" s="6" t="s">
        <v>113</v>
      </c>
      <c r="G84" s="25" t="s">
        <v>114</v>
      </c>
      <c r="H84" s="24" t="s">
        <v>111</v>
      </c>
      <c r="I84" s="6" t="s">
        <v>116</v>
      </c>
      <c r="J84" s="6" t="s">
        <v>111</v>
      </c>
      <c r="K84" s="79" t="s">
        <v>258</v>
      </c>
      <c r="L84" s="6" t="s">
        <v>111</v>
      </c>
      <c r="M84" s="79" t="s">
        <v>262</v>
      </c>
      <c r="N84" s="6" t="str">
        <f t="shared" ref="N84:R84" si="62">N$4</f>
        <v>Előirányzat
4/2020. (III.05.) önkormányzati rendelet</v>
      </c>
      <c r="O84" s="6" t="str">
        <f t="shared" si="62"/>
        <v>Előirányzat
 5./2021. (II.25.) polgármesteri rendelet</v>
      </c>
      <c r="P84" s="6" t="str">
        <f t="shared" si="62"/>
        <v>Előirányzat
3/2022. (II.10.) önkormányzati rendelet</v>
      </c>
      <c r="Q84" s="6" t="str">
        <f t="shared" si="62"/>
        <v>Előirányzat
1./2023. (II.23.) önkormányzati rendelet</v>
      </c>
      <c r="R84" s="6" t="str">
        <f t="shared" si="62"/>
        <v>Előirányzat
1./2024. (II)22. önkormányzati rendelet</v>
      </c>
      <c r="S84" s="266" t="str">
        <f ca="1">S$4</f>
        <v>Előirányzat
2/2025. (II.20.) önkormányzati rendelet</v>
      </c>
      <c r="T84" s="266" t="s">
        <v>111</v>
      </c>
      <c r="U84" s="266" t="s">
        <v>384</v>
      </c>
    </row>
    <row r="85" spans="1:21" ht="19.5" customHeight="1" x14ac:dyDescent="0.25">
      <c r="A85" s="103">
        <f t="shared" si="57"/>
        <v>82</v>
      </c>
      <c r="B85" s="16" t="s">
        <v>25</v>
      </c>
      <c r="C85" s="3"/>
      <c r="D85" s="3"/>
      <c r="E85" s="9"/>
      <c r="F85" s="3"/>
      <c r="G85" s="29"/>
      <c r="H85" s="3"/>
      <c r="I85" s="3"/>
      <c r="J85" s="9"/>
      <c r="K85" s="29"/>
      <c r="L85" s="3"/>
      <c r="M85" s="26"/>
      <c r="N85" s="3"/>
      <c r="O85" s="9"/>
      <c r="P85" s="9"/>
      <c r="Q85" s="9"/>
      <c r="R85" s="9"/>
      <c r="S85" s="269"/>
      <c r="T85" s="269"/>
      <c r="U85" s="269"/>
    </row>
    <row r="86" spans="1:21" x14ac:dyDescent="0.25">
      <c r="A86" s="103">
        <f t="shared" si="57"/>
        <v>83</v>
      </c>
      <c r="B86" s="16"/>
      <c r="C86" s="3" t="s">
        <v>26</v>
      </c>
      <c r="D86" s="3"/>
      <c r="E86" s="9"/>
      <c r="F86" s="3"/>
      <c r="G86" s="29"/>
      <c r="H86" s="3"/>
      <c r="I86" s="3"/>
      <c r="J86" s="9"/>
      <c r="K86" s="29"/>
      <c r="L86" s="3"/>
      <c r="M86" s="26"/>
      <c r="N86" s="3"/>
      <c r="O86" s="9"/>
      <c r="P86" s="9"/>
      <c r="Q86" s="9"/>
      <c r="R86" s="9"/>
      <c r="S86" s="269"/>
      <c r="T86" s="269"/>
      <c r="U86" s="269"/>
    </row>
    <row r="87" spans="1:21" x14ac:dyDescent="0.25">
      <c r="A87" s="103">
        <f t="shared" si="57"/>
        <v>84</v>
      </c>
      <c r="B87" s="16" t="s">
        <v>8</v>
      </c>
      <c r="C87" s="16"/>
      <c r="D87" s="16"/>
      <c r="E87" s="11">
        <f>SUM(E92,E91,E90,E89,E88)</f>
        <v>77765</v>
      </c>
      <c r="F87" s="11">
        <f t="shared" ref="F87" si="63">SUM(F92,F91,F90,F89,F88)</f>
        <v>118432</v>
      </c>
      <c r="G87" s="31">
        <f>SUM(G90,G89,G88)</f>
        <v>86358</v>
      </c>
      <c r="H87" s="11">
        <f>SUM(H92,H91,H90,H89,H88)</f>
        <v>25548</v>
      </c>
      <c r="I87" s="11">
        <f>G87+H87</f>
        <v>111906</v>
      </c>
      <c r="J87" s="11">
        <f>J88+J89+J90</f>
        <v>6674</v>
      </c>
      <c r="K87" s="31">
        <f>J87+I87</f>
        <v>118580</v>
      </c>
      <c r="L87" s="11">
        <f>L88+L89+L90</f>
        <v>17181</v>
      </c>
      <c r="M87" s="31">
        <f>K87+L87</f>
        <v>135761</v>
      </c>
      <c r="N87" s="11">
        <f>N88+N89+N90</f>
        <v>95296</v>
      </c>
      <c r="O87" s="111">
        <f>SUM(O88:O92)</f>
        <v>79679</v>
      </c>
      <c r="P87" s="111">
        <f>SUM(P88:P92)</f>
        <v>92607</v>
      </c>
      <c r="Q87" s="111">
        <f>SUM(Q88:Q92)</f>
        <v>118140</v>
      </c>
      <c r="R87" s="111">
        <f>SUM(R88:R92)</f>
        <v>143027</v>
      </c>
      <c r="S87" s="112">
        <f>SUM(S88:S92)</f>
        <v>133397</v>
      </c>
      <c r="T87" s="112">
        <f t="shared" ref="T87:U87" si="64">SUM(T88:T92)</f>
        <v>8872</v>
      </c>
      <c r="U87" s="112">
        <f t="shared" si="64"/>
        <v>142269</v>
      </c>
    </row>
    <row r="88" spans="1:21" x14ac:dyDescent="0.25">
      <c r="A88" s="103">
        <f t="shared" si="57"/>
        <v>85</v>
      </c>
      <c r="B88" s="3"/>
      <c r="C88" s="3" t="s">
        <v>2</v>
      </c>
      <c r="D88" s="3"/>
      <c r="E88" s="9">
        <v>47871</v>
      </c>
      <c r="F88" s="9">
        <v>69927</v>
      </c>
      <c r="G88" s="29">
        <v>49270</v>
      </c>
      <c r="H88" s="9">
        <v>9670</v>
      </c>
      <c r="I88" s="9">
        <f t="shared" ref="I88:I109" si="65">G88+H88</f>
        <v>58940</v>
      </c>
      <c r="J88" s="9">
        <v>6043</v>
      </c>
      <c r="K88" s="29">
        <f t="shared" ref="K88:K108" si="66">J88+I88</f>
        <v>64983</v>
      </c>
      <c r="L88" s="9">
        <v>6200</v>
      </c>
      <c r="M88" s="29">
        <f>K88+L88</f>
        <v>71183</v>
      </c>
      <c r="N88" s="9">
        <v>54528</v>
      </c>
      <c r="O88" s="9">
        <v>48824</v>
      </c>
      <c r="P88" s="9">
        <v>56135</v>
      </c>
      <c r="Q88" s="9">
        <v>61535</v>
      </c>
      <c r="R88" s="9">
        <v>80913</v>
      </c>
      <c r="S88" s="269">
        <v>82507</v>
      </c>
      <c r="T88" s="269">
        <v>3490</v>
      </c>
      <c r="U88" s="269">
        <f t="shared" ref="U88:U91" si="67">SUM(S88:T88)</f>
        <v>85997</v>
      </c>
    </row>
    <row r="89" spans="1:21" x14ac:dyDescent="0.25">
      <c r="A89" s="103">
        <f t="shared" si="57"/>
        <v>86</v>
      </c>
      <c r="B89" s="3"/>
      <c r="C89" s="3" t="s">
        <v>1</v>
      </c>
      <c r="D89" s="3"/>
      <c r="E89" s="9">
        <v>9344</v>
      </c>
      <c r="F89" s="9">
        <v>12498</v>
      </c>
      <c r="G89" s="29">
        <v>8622</v>
      </c>
      <c r="H89" s="9">
        <v>1000</v>
      </c>
      <c r="I89" s="9">
        <f t="shared" si="65"/>
        <v>9622</v>
      </c>
      <c r="J89" s="9">
        <v>361</v>
      </c>
      <c r="K89" s="29">
        <f t="shared" si="66"/>
        <v>9983</v>
      </c>
      <c r="L89" s="9">
        <v>2178</v>
      </c>
      <c r="M89" s="29">
        <f>K89+L89</f>
        <v>12161</v>
      </c>
      <c r="N89" s="9">
        <v>9542</v>
      </c>
      <c r="O89" s="9">
        <v>7568</v>
      </c>
      <c r="P89" s="9">
        <v>7298</v>
      </c>
      <c r="Q89" s="9">
        <v>8239</v>
      </c>
      <c r="R89" s="9">
        <v>10937</v>
      </c>
      <c r="S89" s="269">
        <v>10294</v>
      </c>
      <c r="T89" s="269">
        <v>232</v>
      </c>
      <c r="U89" s="269">
        <f t="shared" si="67"/>
        <v>10526</v>
      </c>
    </row>
    <row r="90" spans="1:21" x14ac:dyDescent="0.25">
      <c r="A90" s="103">
        <f t="shared" si="57"/>
        <v>87</v>
      </c>
      <c r="B90" s="3"/>
      <c r="C90" s="3" t="s">
        <v>4</v>
      </c>
      <c r="D90" s="3"/>
      <c r="E90" s="9">
        <v>20550</v>
      </c>
      <c r="F90" s="9">
        <v>36007</v>
      </c>
      <c r="G90" s="29">
        <v>28466</v>
      </c>
      <c r="H90" s="9">
        <v>14878</v>
      </c>
      <c r="I90" s="9">
        <f t="shared" si="65"/>
        <v>43344</v>
      </c>
      <c r="J90" s="9">
        <v>270</v>
      </c>
      <c r="K90" s="29">
        <f t="shared" si="66"/>
        <v>43614</v>
      </c>
      <c r="L90" s="9">
        <v>8803</v>
      </c>
      <c r="M90" s="29">
        <f>K90+L90</f>
        <v>52417</v>
      </c>
      <c r="N90" s="9">
        <v>31226</v>
      </c>
      <c r="O90" s="9">
        <v>23287</v>
      </c>
      <c r="P90" s="9">
        <v>29174</v>
      </c>
      <c r="Q90" s="9">
        <v>48366</v>
      </c>
      <c r="R90" s="9">
        <v>51177</v>
      </c>
      <c r="S90" s="269">
        <v>40596</v>
      </c>
      <c r="T90" s="269">
        <v>5148</v>
      </c>
      <c r="U90" s="269">
        <f t="shared" si="67"/>
        <v>45744</v>
      </c>
    </row>
    <row r="91" spans="1:21" x14ac:dyDescent="0.25">
      <c r="A91" s="103">
        <f t="shared" si="57"/>
        <v>88</v>
      </c>
      <c r="B91" s="3"/>
      <c r="C91" s="3" t="s">
        <v>3</v>
      </c>
      <c r="D91" s="3"/>
      <c r="E91" s="9">
        <v>0</v>
      </c>
      <c r="F91" s="9">
        <v>0</v>
      </c>
      <c r="G91" s="29">
        <v>0</v>
      </c>
      <c r="H91" s="9">
        <f>+'[1]Kiad-Mód'!F97</f>
        <v>0</v>
      </c>
      <c r="I91" s="9">
        <f t="shared" si="65"/>
        <v>0</v>
      </c>
      <c r="J91" s="9">
        <v>0</v>
      </c>
      <c r="K91" s="29">
        <f t="shared" si="66"/>
        <v>0</v>
      </c>
      <c r="L91" s="3">
        <v>0</v>
      </c>
      <c r="M91" s="26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269">
        <v>0</v>
      </c>
      <c r="T91" s="269">
        <v>0</v>
      </c>
      <c r="U91" s="269">
        <f t="shared" si="67"/>
        <v>0</v>
      </c>
    </row>
    <row r="92" spans="1:21" x14ac:dyDescent="0.25">
      <c r="A92" s="103">
        <f t="shared" si="57"/>
        <v>89</v>
      </c>
      <c r="B92" s="3"/>
      <c r="C92" s="3" t="s">
        <v>5</v>
      </c>
      <c r="D92" s="3"/>
      <c r="E92" s="9">
        <f>SUM(E93:E97)</f>
        <v>0</v>
      </c>
      <c r="F92" s="9">
        <v>0</v>
      </c>
      <c r="G92" s="29">
        <v>0</v>
      </c>
      <c r="H92" s="9">
        <f>SUM(H93:H97)</f>
        <v>0</v>
      </c>
      <c r="I92" s="9">
        <f t="shared" si="65"/>
        <v>0</v>
      </c>
      <c r="J92" s="9">
        <v>0</v>
      </c>
      <c r="K92" s="29">
        <f t="shared" si="66"/>
        <v>0</v>
      </c>
      <c r="L92" s="3">
        <v>0</v>
      </c>
      <c r="M92" s="26">
        <v>0</v>
      </c>
      <c r="N92" s="9">
        <v>0</v>
      </c>
      <c r="O92" s="110">
        <f>SUM(O93:O97)</f>
        <v>0</v>
      </c>
      <c r="P92" s="110">
        <f>SUM(P93:P97)</f>
        <v>0</v>
      </c>
      <c r="Q92" s="110">
        <f>SUM(Q93:Q97)</f>
        <v>0</v>
      </c>
      <c r="R92" s="110">
        <f>SUM(R93:R97)</f>
        <v>0</v>
      </c>
      <c r="S92" s="272">
        <f>SUM(S93:S97)</f>
        <v>0</v>
      </c>
      <c r="T92" s="272">
        <f t="shared" ref="T92:U92" si="68">SUM(T93:T97)</f>
        <v>2</v>
      </c>
      <c r="U92" s="272">
        <f t="shared" si="68"/>
        <v>2</v>
      </c>
    </row>
    <row r="93" spans="1:21" x14ac:dyDescent="0.25">
      <c r="A93" s="103">
        <f t="shared" si="57"/>
        <v>90</v>
      </c>
      <c r="B93" s="3"/>
      <c r="C93" s="3"/>
      <c r="D93" s="23" t="s">
        <v>20</v>
      </c>
      <c r="E93" s="19">
        <v>0</v>
      </c>
      <c r="F93" s="3">
        <v>0</v>
      </c>
      <c r="G93" s="29">
        <v>0</v>
      </c>
      <c r="H93" s="19">
        <f>+'[1]Kiad-Mód'!F99</f>
        <v>0</v>
      </c>
      <c r="I93" s="9">
        <f t="shared" si="65"/>
        <v>0</v>
      </c>
      <c r="J93" s="9">
        <v>0</v>
      </c>
      <c r="K93" s="29">
        <f t="shared" si="66"/>
        <v>0</v>
      </c>
      <c r="L93" s="3">
        <v>0</v>
      </c>
      <c r="M93" s="26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269">
        <v>0</v>
      </c>
      <c r="T93" s="269">
        <v>0</v>
      </c>
      <c r="U93" s="269">
        <f t="shared" ref="U93:U97" si="69">SUM(S93:T93)</f>
        <v>0</v>
      </c>
    </row>
    <row r="94" spans="1:21" x14ac:dyDescent="0.25">
      <c r="A94" s="103">
        <f t="shared" si="57"/>
        <v>91</v>
      </c>
      <c r="B94" s="3"/>
      <c r="C94" s="3"/>
      <c r="D94" s="22" t="s">
        <v>358</v>
      </c>
      <c r="E94" s="19">
        <v>0</v>
      </c>
      <c r="F94" s="3">
        <v>0</v>
      </c>
      <c r="G94" s="29">
        <v>0</v>
      </c>
      <c r="H94" s="19">
        <f>+'[1]Kiad-Mód'!F100</f>
        <v>0</v>
      </c>
      <c r="I94" s="9">
        <f t="shared" si="65"/>
        <v>0</v>
      </c>
      <c r="J94" s="9">
        <v>0</v>
      </c>
      <c r="K94" s="29">
        <f t="shared" si="66"/>
        <v>0</v>
      </c>
      <c r="L94" s="3">
        <v>0</v>
      </c>
      <c r="M94" s="26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269">
        <v>0</v>
      </c>
      <c r="T94" s="269">
        <v>2</v>
      </c>
      <c r="U94" s="269">
        <f t="shared" si="69"/>
        <v>2</v>
      </c>
    </row>
    <row r="95" spans="1:21" x14ac:dyDescent="0.25">
      <c r="A95" s="103">
        <f t="shared" si="57"/>
        <v>92</v>
      </c>
      <c r="B95" s="3"/>
      <c r="C95" s="3"/>
      <c r="D95" s="22" t="s">
        <v>359</v>
      </c>
      <c r="E95" s="19">
        <v>0</v>
      </c>
      <c r="F95" s="3">
        <v>0</v>
      </c>
      <c r="G95" s="29">
        <v>0</v>
      </c>
      <c r="H95" s="19">
        <f>+'[1]Kiad-Mód'!F101</f>
        <v>0</v>
      </c>
      <c r="I95" s="9">
        <f t="shared" si="65"/>
        <v>0</v>
      </c>
      <c r="J95" s="9">
        <v>0</v>
      </c>
      <c r="K95" s="29">
        <f t="shared" si="66"/>
        <v>0</v>
      </c>
      <c r="L95" s="3">
        <v>0</v>
      </c>
      <c r="M95" s="26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269">
        <v>0</v>
      </c>
      <c r="T95" s="269">
        <v>0</v>
      </c>
      <c r="U95" s="269">
        <f t="shared" si="69"/>
        <v>0</v>
      </c>
    </row>
    <row r="96" spans="1:21" x14ac:dyDescent="0.25">
      <c r="A96" s="103">
        <f t="shared" si="57"/>
        <v>93</v>
      </c>
      <c r="B96" s="3"/>
      <c r="C96" s="3"/>
      <c r="D96" s="22" t="s">
        <v>6</v>
      </c>
      <c r="E96" s="19">
        <v>0</v>
      </c>
      <c r="F96" s="3">
        <v>0</v>
      </c>
      <c r="G96" s="29">
        <v>0</v>
      </c>
      <c r="H96" s="19">
        <f>+'[1]Kiad-Mód'!F102</f>
        <v>0</v>
      </c>
      <c r="I96" s="9">
        <f t="shared" si="65"/>
        <v>0</v>
      </c>
      <c r="J96" s="9">
        <v>0</v>
      </c>
      <c r="K96" s="29">
        <f t="shared" si="66"/>
        <v>0</v>
      </c>
      <c r="L96" s="3">
        <v>0</v>
      </c>
      <c r="M96" s="26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269">
        <v>0</v>
      </c>
      <c r="T96" s="269">
        <v>0</v>
      </c>
      <c r="U96" s="269">
        <f t="shared" si="69"/>
        <v>0</v>
      </c>
    </row>
    <row r="97" spans="1:21" x14ac:dyDescent="0.25">
      <c r="A97" s="103">
        <f t="shared" si="57"/>
        <v>94</v>
      </c>
      <c r="B97" s="3"/>
      <c r="C97" s="3"/>
      <c r="D97" s="22" t="s">
        <v>7</v>
      </c>
      <c r="E97" s="19">
        <v>0</v>
      </c>
      <c r="F97" s="3">
        <v>0</v>
      </c>
      <c r="G97" s="29">
        <v>0</v>
      </c>
      <c r="H97" s="19">
        <f>+'[1]Kiad-Mód'!F103</f>
        <v>0</v>
      </c>
      <c r="I97" s="9">
        <f t="shared" si="65"/>
        <v>0</v>
      </c>
      <c r="J97" s="9">
        <v>0</v>
      </c>
      <c r="K97" s="29">
        <f t="shared" si="66"/>
        <v>0</v>
      </c>
      <c r="L97" s="3">
        <v>0</v>
      </c>
      <c r="M97" s="26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269">
        <v>0</v>
      </c>
      <c r="T97" s="269">
        <v>0</v>
      </c>
      <c r="U97" s="269">
        <f t="shared" si="69"/>
        <v>0</v>
      </c>
    </row>
    <row r="98" spans="1:21" x14ac:dyDescent="0.25">
      <c r="A98" s="103">
        <f t="shared" si="57"/>
        <v>95</v>
      </c>
      <c r="B98" s="16" t="s">
        <v>9</v>
      </c>
      <c r="C98" s="16"/>
      <c r="D98" s="16"/>
      <c r="E98" s="11">
        <f>SUM(E101,E100,E99)</f>
        <v>470</v>
      </c>
      <c r="F98" s="11">
        <f t="shared" ref="F98:H98" si="70">SUM(F101,F100,F99)</f>
        <v>3420</v>
      </c>
      <c r="G98" s="31">
        <f>SUM(G101,G100,G99)</f>
        <v>470</v>
      </c>
      <c r="H98" s="11">
        <f t="shared" si="70"/>
        <v>580</v>
      </c>
      <c r="I98" s="11">
        <f t="shared" si="65"/>
        <v>1050</v>
      </c>
      <c r="J98" s="11">
        <v>0</v>
      </c>
      <c r="K98" s="31">
        <f t="shared" si="66"/>
        <v>1050</v>
      </c>
      <c r="L98" s="16">
        <v>0</v>
      </c>
      <c r="M98" s="31">
        <v>1050</v>
      </c>
      <c r="N98" s="11">
        <f>N99</f>
        <v>1804</v>
      </c>
      <c r="O98" s="111">
        <f>SUM(O99:O101)</f>
        <v>1881</v>
      </c>
      <c r="P98" s="111">
        <f>SUM(P99:P101)</f>
        <v>5000</v>
      </c>
      <c r="Q98" s="111">
        <f>SUM(Q99:Q101)</f>
        <v>4410</v>
      </c>
      <c r="R98" s="111">
        <f>SUM(R99:R101)</f>
        <v>4890</v>
      </c>
      <c r="S98" s="112">
        <f>SUM(S99:S101)</f>
        <v>4200</v>
      </c>
      <c r="T98" s="112">
        <f t="shared" ref="T98:U98" si="71">SUM(T99:T101)</f>
        <v>-2</v>
      </c>
      <c r="U98" s="112">
        <f t="shared" si="71"/>
        <v>4198</v>
      </c>
    </row>
    <row r="99" spans="1:21" x14ac:dyDescent="0.25">
      <c r="A99" s="103">
        <f t="shared" si="57"/>
        <v>96</v>
      </c>
      <c r="B99" s="3"/>
      <c r="C99" s="3" t="s">
        <v>10</v>
      </c>
      <c r="D99" s="3"/>
      <c r="E99" s="9">
        <v>470</v>
      </c>
      <c r="F99" s="35">
        <v>3420</v>
      </c>
      <c r="G99" s="29">
        <v>470</v>
      </c>
      <c r="H99" s="9">
        <v>580</v>
      </c>
      <c r="I99" s="9">
        <f t="shared" si="65"/>
        <v>1050</v>
      </c>
      <c r="J99" s="9">
        <v>0</v>
      </c>
      <c r="K99" s="29">
        <f t="shared" si="66"/>
        <v>1050</v>
      </c>
      <c r="L99" s="3">
        <v>0</v>
      </c>
      <c r="M99" s="29">
        <v>1050</v>
      </c>
      <c r="N99" s="9">
        <v>1804</v>
      </c>
      <c r="O99" s="9">
        <v>1881</v>
      </c>
      <c r="P99" s="9">
        <v>5000</v>
      </c>
      <c r="Q99" s="9">
        <v>4410</v>
      </c>
      <c r="R99" s="9">
        <v>4890</v>
      </c>
      <c r="S99" s="269">
        <v>4200</v>
      </c>
      <c r="T99" s="269">
        <v>-2</v>
      </c>
      <c r="U99" s="269">
        <f t="shared" ref="U99:U100" si="72">SUM(S99:T99)</f>
        <v>4198</v>
      </c>
    </row>
    <row r="100" spans="1:21" x14ac:dyDescent="0.25">
      <c r="A100" s="103">
        <f t="shared" si="57"/>
        <v>97</v>
      </c>
      <c r="B100" s="3"/>
      <c r="C100" s="3" t="s">
        <v>11</v>
      </c>
      <c r="D100" s="3"/>
      <c r="E100" s="9">
        <v>0</v>
      </c>
      <c r="F100" s="3">
        <v>0</v>
      </c>
      <c r="G100" s="29">
        <v>0</v>
      </c>
      <c r="H100" s="9">
        <f>+'[1]Kiad-Mód'!F106</f>
        <v>0</v>
      </c>
      <c r="I100" s="9">
        <f t="shared" si="65"/>
        <v>0</v>
      </c>
      <c r="J100" s="9">
        <v>0</v>
      </c>
      <c r="K100" s="29">
        <f t="shared" si="66"/>
        <v>0</v>
      </c>
      <c r="L100" s="3">
        <v>0</v>
      </c>
      <c r="M100" s="26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269">
        <v>0</v>
      </c>
      <c r="T100" s="269">
        <v>0</v>
      </c>
      <c r="U100" s="269">
        <f t="shared" si="72"/>
        <v>0</v>
      </c>
    </row>
    <row r="101" spans="1:21" x14ac:dyDescent="0.25">
      <c r="A101" s="103">
        <f t="shared" si="57"/>
        <v>98</v>
      </c>
      <c r="B101" s="3"/>
      <c r="C101" s="3" t="s">
        <v>12</v>
      </c>
      <c r="D101" s="3"/>
      <c r="E101" s="9">
        <f>SUM(E102:E104)</f>
        <v>0</v>
      </c>
      <c r="F101" s="3">
        <v>0</v>
      </c>
      <c r="G101" s="29">
        <v>0</v>
      </c>
      <c r="H101" s="9">
        <f>SUM(H102:H104)</f>
        <v>0</v>
      </c>
      <c r="I101" s="9">
        <f t="shared" si="65"/>
        <v>0</v>
      </c>
      <c r="J101" s="9">
        <v>0</v>
      </c>
      <c r="K101" s="29">
        <f t="shared" si="66"/>
        <v>0</v>
      </c>
      <c r="L101" s="3">
        <v>0</v>
      </c>
      <c r="M101" s="26">
        <v>0</v>
      </c>
      <c r="N101" s="9">
        <v>0</v>
      </c>
      <c r="O101" s="110">
        <f>SUM(O102:O104)</f>
        <v>0</v>
      </c>
      <c r="P101" s="110">
        <f>SUM(P102:P104)</f>
        <v>0</v>
      </c>
      <c r="Q101" s="110">
        <f>SUM(Q102:Q104)</f>
        <v>0</v>
      </c>
      <c r="R101" s="110">
        <f>SUM(R102:R104)</f>
        <v>0</v>
      </c>
      <c r="S101" s="272">
        <f>SUM(S102:S104)</f>
        <v>0</v>
      </c>
      <c r="T101" s="272">
        <f t="shared" ref="T101:U101" si="73">SUM(T102:T104)</f>
        <v>0</v>
      </c>
      <c r="U101" s="272">
        <f t="shared" si="73"/>
        <v>0</v>
      </c>
    </row>
    <row r="102" spans="1:21" x14ac:dyDescent="0.25">
      <c r="A102" s="103">
        <f t="shared" si="57"/>
        <v>99</v>
      </c>
      <c r="B102" s="3"/>
      <c r="C102" s="3"/>
      <c r="D102" s="22" t="s">
        <v>13</v>
      </c>
      <c r="E102" s="19">
        <v>0</v>
      </c>
      <c r="F102" s="3">
        <v>0</v>
      </c>
      <c r="G102" s="29">
        <v>0</v>
      </c>
      <c r="H102" s="19">
        <f>+'[1]Kiad-Mód'!F108</f>
        <v>0</v>
      </c>
      <c r="I102" s="9">
        <f t="shared" si="65"/>
        <v>0</v>
      </c>
      <c r="J102" s="9">
        <v>0</v>
      </c>
      <c r="K102" s="29">
        <f t="shared" si="66"/>
        <v>0</v>
      </c>
      <c r="L102" s="3">
        <v>0</v>
      </c>
      <c r="M102" s="26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269">
        <v>0</v>
      </c>
      <c r="T102" s="269">
        <v>0</v>
      </c>
      <c r="U102" s="269">
        <f t="shared" ref="U102:U104" si="74">SUM(S102:T102)</f>
        <v>0</v>
      </c>
    </row>
    <row r="103" spans="1:21" ht="30" x14ac:dyDescent="0.25">
      <c r="A103" s="103">
        <f t="shared" si="57"/>
        <v>100</v>
      </c>
      <c r="B103" s="3"/>
      <c r="C103" s="3"/>
      <c r="D103" s="18" t="s">
        <v>346</v>
      </c>
      <c r="E103" s="19">
        <v>0</v>
      </c>
      <c r="F103" s="3">
        <v>0</v>
      </c>
      <c r="G103" s="29">
        <v>0</v>
      </c>
      <c r="H103" s="19">
        <f>+'[1]Kiad-Mód'!F109</f>
        <v>0</v>
      </c>
      <c r="I103" s="9">
        <f t="shared" si="65"/>
        <v>0</v>
      </c>
      <c r="J103" s="9">
        <v>0</v>
      </c>
      <c r="K103" s="29">
        <f t="shared" si="66"/>
        <v>0</v>
      </c>
      <c r="L103" s="3">
        <v>0</v>
      </c>
      <c r="M103" s="26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269">
        <v>0</v>
      </c>
      <c r="T103" s="269">
        <v>0</v>
      </c>
      <c r="U103" s="269">
        <f t="shared" si="74"/>
        <v>0</v>
      </c>
    </row>
    <row r="104" spans="1:21" x14ac:dyDescent="0.25">
      <c r="A104" s="103">
        <f t="shared" si="57"/>
        <v>101</v>
      </c>
      <c r="B104" s="3"/>
      <c r="C104" s="3"/>
      <c r="D104" s="22" t="s">
        <v>14</v>
      </c>
      <c r="E104" s="19">
        <v>0</v>
      </c>
      <c r="F104" s="3">
        <v>0</v>
      </c>
      <c r="G104" s="29">
        <v>0</v>
      </c>
      <c r="H104" s="19">
        <f>+'[1]Kiad-Mód'!F110</f>
        <v>0</v>
      </c>
      <c r="I104" s="9">
        <f t="shared" si="65"/>
        <v>0</v>
      </c>
      <c r="J104" s="9">
        <v>0</v>
      </c>
      <c r="K104" s="29">
        <f t="shared" si="66"/>
        <v>0</v>
      </c>
      <c r="L104" s="3">
        <v>0</v>
      </c>
      <c r="M104" s="26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269">
        <v>0</v>
      </c>
      <c r="T104" s="269">
        <v>0</v>
      </c>
      <c r="U104" s="269">
        <f t="shared" si="74"/>
        <v>0</v>
      </c>
    </row>
    <row r="105" spans="1:21" x14ac:dyDescent="0.25">
      <c r="A105" s="103">
        <f t="shared" si="57"/>
        <v>102</v>
      </c>
      <c r="B105" s="16" t="s">
        <v>15</v>
      </c>
      <c r="C105" s="16"/>
      <c r="D105" s="16"/>
      <c r="E105" s="11">
        <f>SUM(E106:E108)</f>
        <v>0</v>
      </c>
      <c r="F105" s="3">
        <v>0</v>
      </c>
      <c r="G105" s="97">
        <v>0</v>
      </c>
      <c r="H105" s="11">
        <f>SUM(H106:H108)</f>
        <v>0</v>
      </c>
      <c r="I105" s="9">
        <f t="shared" si="65"/>
        <v>0</v>
      </c>
      <c r="J105" s="9">
        <v>0</v>
      </c>
      <c r="K105" s="29">
        <f t="shared" si="66"/>
        <v>0</v>
      </c>
      <c r="L105" s="3">
        <v>0</v>
      </c>
      <c r="M105" s="26">
        <v>0</v>
      </c>
      <c r="N105" s="9">
        <v>0</v>
      </c>
      <c r="O105" s="111">
        <f>SUM(O106:O108)</f>
        <v>0</v>
      </c>
      <c r="P105" s="111">
        <f>SUM(P106:P108)</f>
        <v>0</v>
      </c>
      <c r="Q105" s="111">
        <f>SUM(Q106:Q108)</f>
        <v>0</v>
      </c>
      <c r="R105" s="111">
        <f>SUM(R106:R108)</f>
        <v>0</v>
      </c>
      <c r="S105" s="112">
        <f>SUM(S106:S108)</f>
        <v>0</v>
      </c>
      <c r="T105" s="112">
        <f t="shared" ref="T105:U105" si="75">SUM(T106:T108)</f>
        <v>0</v>
      </c>
      <c r="U105" s="112">
        <f t="shared" si="75"/>
        <v>0</v>
      </c>
    </row>
    <row r="106" spans="1:21" x14ac:dyDescent="0.25">
      <c r="A106" s="103">
        <f t="shared" si="57"/>
        <v>103</v>
      </c>
      <c r="B106" s="3"/>
      <c r="C106" s="3" t="s">
        <v>16</v>
      </c>
      <c r="D106" s="3"/>
      <c r="E106" s="9">
        <v>0</v>
      </c>
      <c r="F106" s="3">
        <v>0</v>
      </c>
      <c r="G106" s="29">
        <v>0</v>
      </c>
      <c r="H106" s="9">
        <f>+'[1]Kiad-Mód'!F112</f>
        <v>0</v>
      </c>
      <c r="I106" s="9">
        <f t="shared" si="65"/>
        <v>0</v>
      </c>
      <c r="J106" s="9">
        <v>0</v>
      </c>
      <c r="K106" s="29">
        <f t="shared" si="66"/>
        <v>0</v>
      </c>
      <c r="L106" s="3">
        <v>0</v>
      </c>
      <c r="M106" s="26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269">
        <v>0</v>
      </c>
      <c r="T106" s="269">
        <v>0</v>
      </c>
      <c r="U106" s="269">
        <f t="shared" ref="U106:U108" si="76">SUM(S106:T106)</f>
        <v>0</v>
      </c>
    </row>
    <row r="107" spans="1:21" x14ac:dyDescent="0.25">
      <c r="A107" s="103">
        <f t="shared" si="57"/>
        <v>104</v>
      </c>
      <c r="B107" s="3"/>
      <c r="C107" s="3" t="s">
        <v>17</v>
      </c>
      <c r="D107" s="3"/>
      <c r="E107" s="9">
        <v>0</v>
      </c>
      <c r="F107" s="3">
        <v>0</v>
      </c>
      <c r="G107" s="29">
        <v>0</v>
      </c>
      <c r="H107" s="9">
        <f>+'[1]Kiad-Mód'!F113</f>
        <v>0</v>
      </c>
      <c r="I107" s="9">
        <f t="shared" si="65"/>
        <v>0</v>
      </c>
      <c r="J107" s="9">
        <v>0</v>
      </c>
      <c r="K107" s="29">
        <f t="shared" si="66"/>
        <v>0</v>
      </c>
      <c r="L107" s="3">
        <v>0</v>
      </c>
      <c r="M107" s="26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269">
        <v>0</v>
      </c>
      <c r="T107" s="269">
        <v>0</v>
      </c>
      <c r="U107" s="269">
        <f t="shared" si="76"/>
        <v>0</v>
      </c>
    </row>
    <row r="108" spans="1:21" x14ac:dyDescent="0.25">
      <c r="A108" s="103">
        <f t="shared" si="57"/>
        <v>105</v>
      </c>
      <c r="B108" s="3"/>
      <c r="C108" s="3" t="s">
        <v>18</v>
      </c>
      <c r="D108" s="3"/>
      <c r="E108" s="9">
        <v>0</v>
      </c>
      <c r="F108" s="3">
        <v>0</v>
      </c>
      <c r="G108" s="29">
        <v>0</v>
      </c>
      <c r="H108" s="9">
        <f>+'[1]Kiad-Mód'!F114</f>
        <v>0</v>
      </c>
      <c r="I108" s="9">
        <f t="shared" si="65"/>
        <v>0</v>
      </c>
      <c r="J108" s="9">
        <v>0</v>
      </c>
      <c r="K108" s="29">
        <f t="shared" si="66"/>
        <v>0</v>
      </c>
      <c r="L108" s="3">
        <v>0</v>
      </c>
      <c r="M108" s="26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269">
        <v>0</v>
      </c>
      <c r="T108" s="269">
        <v>0</v>
      </c>
      <c r="U108" s="269">
        <f t="shared" si="76"/>
        <v>0</v>
      </c>
    </row>
    <row r="109" spans="1:21" x14ac:dyDescent="0.25">
      <c r="A109" s="103">
        <f t="shared" si="57"/>
        <v>106</v>
      </c>
      <c r="B109" s="16" t="s">
        <v>19</v>
      </c>
      <c r="C109" s="16"/>
      <c r="D109" s="16"/>
      <c r="E109" s="11">
        <f>SUM(E87,E98,E105)</f>
        <v>78235</v>
      </c>
      <c r="F109" s="11">
        <f t="shared" ref="F109:G109" si="77">SUM(F87,F98,F105)</f>
        <v>121852</v>
      </c>
      <c r="G109" s="31">
        <f t="shared" si="77"/>
        <v>86828</v>
      </c>
      <c r="H109" s="11">
        <f>SUM(H87,H98,H105)</f>
        <v>26128</v>
      </c>
      <c r="I109" s="11">
        <f t="shared" si="65"/>
        <v>112956</v>
      </c>
      <c r="J109" s="11">
        <f>J87</f>
        <v>6674</v>
      </c>
      <c r="K109" s="31">
        <f>K98+K87</f>
        <v>119630</v>
      </c>
      <c r="L109" s="11">
        <f>L87</f>
        <v>17181</v>
      </c>
      <c r="M109" s="31">
        <f>M98+M87</f>
        <v>136811</v>
      </c>
      <c r="N109" s="11">
        <f>N87+N98+N105</f>
        <v>97100</v>
      </c>
      <c r="O109" s="112">
        <f>SUM(O105,O98,O87)</f>
        <v>81560</v>
      </c>
      <c r="P109" s="112">
        <f>SUM(P105,P98,P87)</f>
        <v>97607</v>
      </c>
      <c r="Q109" s="112">
        <f>SUM(Q105,Q98,Q87)</f>
        <v>122550</v>
      </c>
      <c r="R109" s="112">
        <f>SUM(R105,R98,R87)</f>
        <v>147917</v>
      </c>
      <c r="S109" s="112">
        <f>SUM(S105,S98,S87)</f>
        <v>137597</v>
      </c>
      <c r="T109" s="112">
        <f t="shared" ref="T109:U109" si="78">SUM(T105,T98,T87)</f>
        <v>8870</v>
      </c>
      <c r="U109" s="112">
        <f t="shared" si="78"/>
        <v>146467</v>
      </c>
    </row>
    <row r="110" spans="1:21" ht="93.75" customHeight="1" x14ac:dyDescent="0.25">
      <c r="A110" s="103">
        <f t="shared" si="57"/>
        <v>107</v>
      </c>
      <c r="B110" s="16" t="s">
        <v>101</v>
      </c>
      <c r="C110" s="3"/>
      <c r="D110" s="3"/>
      <c r="E110" s="15" t="s">
        <v>108</v>
      </c>
      <c r="F110" s="6" t="s">
        <v>113</v>
      </c>
      <c r="G110" s="25" t="s">
        <v>114</v>
      </c>
      <c r="H110" s="24" t="s">
        <v>111</v>
      </c>
      <c r="I110" s="6" t="s">
        <v>116</v>
      </c>
      <c r="J110" s="6" t="s">
        <v>111</v>
      </c>
      <c r="K110" s="79" t="s">
        <v>258</v>
      </c>
      <c r="L110" s="6" t="s">
        <v>111</v>
      </c>
      <c r="M110" s="79" t="s">
        <v>262</v>
      </c>
      <c r="N110" s="6" t="str">
        <f t="shared" ref="N110:R110" si="79">N$4</f>
        <v>Előirányzat
4/2020. (III.05.) önkormányzati rendelet</v>
      </c>
      <c r="O110" s="6" t="str">
        <f t="shared" si="79"/>
        <v>Előirányzat
 5./2021. (II.25.) polgármesteri rendelet</v>
      </c>
      <c r="P110" s="6" t="str">
        <f t="shared" si="79"/>
        <v>Előirányzat
3/2022. (II.10.) önkormányzati rendelet</v>
      </c>
      <c r="Q110" s="6" t="str">
        <f t="shared" si="79"/>
        <v>Előirányzat
1./2023. (II.23.) önkormányzati rendelet</v>
      </c>
      <c r="R110" s="6" t="str">
        <f t="shared" si="79"/>
        <v>Előirányzat
1./2024. (II)22. önkormányzati rendelet</v>
      </c>
      <c r="S110" s="266" t="str">
        <f ca="1">S$4</f>
        <v>Előirányzat
2/2025. (II.20.) önkormányzati rendelet</v>
      </c>
      <c r="T110" s="266" t="s">
        <v>111</v>
      </c>
      <c r="U110" s="266" t="s">
        <v>384</v>
      </c>
    </row>
    <row r="111" spans="1:21" x14ac:dyDescent="0.25">
      <c r="A111" s="103">
        <f t="shared" si="57"/>
        <v>108</v>
      </c>
      <c r="B111" s="16" t="s">
        <v>25</v>
      </c>
      <c r="C111" s="3"/>
      <c r="D111" s="3"/>
      <c r="E111" s="9"/>
      <c r="F111" s="3"/>
      <c r="G111" s="29"/>
      <c r="H111" s="3"/>
      <c r="I111" s="3"/>
      <c r="J111" s="9"/>
      <c r="K111" s="29"/>
      <c r="L111" s="3"/>
      <c r="M111" s="26"/>
      <c r="N111" s="3"/>
      <c r="O111" s="9"/>
      <c r="P111" s="9"/>
      <c r="Q111" s="9"/>
      <c r="R111" s="9"/>
      <c r="S111" s="269"/>
      <c r="T111" s="269"/>
      <c r="U111" s="269"/>
    </row>
    <row r="112" spans="1:21" x14ac:dyDescent="0.25">
      <c r="A112" s="103">
        <f t="shared" si="57"/>
        <v>109</v>
      </c>
      <c r="B112" s="16"/>
      <c r="C112" s="3" t="s">
        <v>26</v>
      </c>
      <c r="D112" s="3"/>
      <c r="E112" s="9"/>
      <c r="F112" s="3"/>
      <c r="G112" s="29"/>
      <c r="H112" s="3"/>
      <c r="I112" s="3"/>
      <c r="J112" s="9"/>
      <c r="K112" s="29"/>
      <c r="L112" s="3"/>
      <c r="M112" s="26"/>
      <c r="N112" s="3"/>
      <c r="O112" s="9"/>
      <c r="P112" s="9"/>
      <c r="Q112" s="9"/>
      <c r="R112" s="9"/>
      <c r="S112" s="269"/>
      <c r="T112" s="269"/>
      <c r="U112" s="269"/>
    </row>
    <row r="113" spans="1:21" x14ac:dyDescent="0.25">
      <c r="A113" s="103">
        <f t="shared" si="57"/>
        <v>110</v>
      </c>
      <c r="B113" s="16" t="s">
        <v>8</v>
      </c>
      <c r="C113" s="16"/>
      <c r="D113" s="16"/>
      <c r="E113" s="11">
        <f>SUM(E118,E117,E116,E115,E114)</f>
        <v>410747</v>
      </c>
      <c r="F113" s="11">
        <f t="shared" ref="F113:G113" si="80">SUM(F118,F117,F116,F115,F114)</f>
        <v>525948</v>
      </c>
      <c r="G113" s="31">
        <f t="shared" si="80"/>
        <v>486046</v>
      </c>
      <c r="H113" s="11">
        <f>SUM(H118,H117,H116,H115,H114)</f>
        <v>40521</v>
      </c>
      <c r="I113" s="11">
        <f>G113+H113</f>
        <v>526567</v>
      </c>
      <c r="J113" s="11">
        <f>J114+J115+J116</f>
        <v>16227</v>
      </c>
      <c r="K113" s="31">
        <f>J113+I113</f>
        <v>542794</v>
      </c>
      <c r="L113" s="11">
        <v>5763</v>
      </c>
      <c r="M113" s="31">
        <f>K113+L113</f>
        <v>548557</v>
      </c>
      <c r="N113" s="11">
        <f>N114+N115+N116</f>
        <v>553813</v>
      </c>
      <c r="O113" s="111">
        <f>SUM(O114:O118)</f>
        <v>569165</v>
      </c>
      <c r="P113" s="111">
        <f>SUM(P114:P118)</f>
        <v>724088</v>
      </c>
      <c r="Q113" s="111">
        <f>SUM(Q114:Q118)</f>
        <v>790103</v>
      </c>
      <c r="R113" s="111">
        <f>SUM(R114:R118)</f>
        <v>872697</v>
      </c>
      <c r="S113" s="112">
        <f>SUM(S114:S118)</f>
        <v>915764</v>
      </c>
      <c r="T113" s="112">
        <f t="shared" ref="T113:U113" si="81">SUM(T114:T118)</f>
        <v>33531</v>
      </c>
      <c r="U113" s="112">
        <f t="shared" si="81"/>
        <v>949295</v>
      </c>
    </row>
    <row r="114" spans="1:21" x14ac:dyDescent="0.25">
      <c r="A114" s="103">
        <f t="shared" si="57"/>
        <v>111</v>
      </c>
      <c r="B114" s="3"/>
      <c r="C114" s="3" t="s">
        <v>2</v>
      </c>
      <c r="D114" s="3"/>
      <c r="E114" s="9">
        <v>265256</v>
      </c>
      <c r="F114" s="9">
        <v>320318</v>
      </c>
      <c r="G114" s="29">
        <v>321100</v>
      </c>
      <c r="H114" s="9">
        <v>21080</v>
      </c>
      <c r="I114" s="9">
        <f t="shared" ref="I114:I135" si="82">G114+H114</f>
        <v>342180</v>
      </c>
      <c r="J114" s="9">
        <f>796+9561+1028+1350-3000</f>
        <v>9735</v>
      </c>
      <c r="K114" s="29">
        <f>J114+I114</f>
        <v>351915</v>
      </c>
      <c r="L114" s="9">
        <v>4905</v>
      </c>
      <c r="M114" s="29">
        <f>K114+L114</f>
        <v>356820</v>
      </c>
      <c r="N114" s="9">
        <v>391898</v>
      </c>
      <c r="O114" s="9">
        <v>392437</v>
      </c>
      <c r="P114" s="9">
        <v>495586</v>
      </c>
      <c r="Q114" s="9">
        <v>507865</v>
      </c>
      <c r="R114" s="9">
        <v>566916</v>
      </c>
      <c r="S114" s="269">
        <v>600666</v>
      </c>
      <c r="T114" s="269">
        <v>27733</v>
      </c>
      <c r="U114" s="269">
        <f t="shared" ref="U114:U117" si="83">SUM(S114:T114)</f>
        <v>628399</v>
      </c>
    </row>
    <row r="115" spans="1:21" x14ac:dyDescent="0.25">
      <c r="A115" s="103">
        <f t="shared" si="57"/>
        <v>112</v>
      </c>
      <c r="B115" s="3"/>
      <c r="C115" s="3" t="s">
        <v>1</v>
      </c>
      <c r="D115" s="3"/>
      <c r="E115" s="9">
        <v>52232</v>
      </c>
      <c r="F115" s="9">
        <v>67636</v>
      </c>
      <c r="G115" s="29">
        <v>62718</v>
      </c>
      <c r="H115" s="9">
        <v>4304</v>
      </c>
      <c r="I115" s="9">
        <f t="shared" si="82"/>
        <v>67022</v>
      </c>
      <c r="J115" s="9">
        <f>155+1864+235</f>
        <v>2254</v>
      </c>
      <c r="K115" s="29">
        <f>J115+I115</f>
        <v>69276</v>
      </c>
      <c r="L115" s="3">
        <v>858</v>
      </c>
      <c r="M115" s="29">
        <f>K115+L115</f>
        <v>70134</v>
      </c>
      <c r="N115" s="9">
        <v>68546</v>
      </c>
      <c r="O115" s="9">
        <v>63084</v>
      </c>
      <c r="P115" s="9">
        <v>73727</v>
      </c>
      <c r="Q115" s="9">
        <v>73427</v>
      </c>
      <c r="R115" s="9">
        <v>87159</v>
      </c>
      <c r="S115" s="269">
        <v>92870</v>
      </c>
      <c r="T115" s="269">
        <v>3605</v>
      </c>
      <c r="U115" s="269">
        <f t="shared" si="83"/>
        <v>96475</v>
      </c>
    </row>
    <row r="116" spans="1:21" x14ac:dyDescent="0.25">
      <c r="A116" s="103">
        <f t="shared" si="57"/>
        <v>113</v>
      </c>
      <c r="B116" s="3"/>
      <c r="C116" s="3" t="s">
        <v>4</v>
      </c>
      <c r="D116" s="3"/>
      <c r="E116" s="9">
        <v>93259</v>
      </c>
      <c r="F116" s="9">
        <v>136292</v>
      </c>
      <c r="G116" s="29">
        <v>102228</v>
      </c>
      <c r="H116" s="9">
        <v>15137</v>
      </c>
      <c r="I116" s="9">
        <f t="shared" si="82"/>
        <v>117365</v>
      </c>
      <c r="J116" s="9">
        <f>1150+3088</f>
        <v>4238</v>
      </c>
      <c r="K116" s="29">
        <f>J116+I116</f>
        <v>121603</v>
      </c>
      <c r="L116" s="3">
        <v>0</v>
      </c>
      <c r="M116" s="29">
        <v>121603</v>
      </c>
      <c r="N116" s="9">
        <v>93369</v>
      </c>
      <c r="O116" s="9">
        <v>113644</v>
      </c>
      <c r="P116" s="9">
        <v>154775</v>
      </c>
      <c r="Q116" s="9">
        <v>208811</v>
      </c>
      <c r="R116" s="9">
        <v>218622</v>
      </c>
      <c r="S116" s="269">
        <v>222228</v>
      </c>
      <c r="T116" s="269">
        <v>2193</v>
      </c>
      <c r="U116" s="269">
        <f t="shared" si="83"/>
        <v>224421</v>
      </c>
    </row>
    <row r="117" spans="1:21" x14ac:dyDescent="0.25">
      <c r="A117" s="103">
        <f t="shared" si="57"/>
        <v>114</v>
      </c>
      <c r="B117" s="3"/>
      <c r="C117" s="3" t="s">
        <v>3</v>
      </c>
      <c r="D117" s="3"/>
      <c r="E117" s="9">
        <v>0</v>
      </c>
      <c r="F117" s="3">
        <v>0</v>
      </c>
      <c r="G117" s="29">
        <v>0</v>
      </c>
      <c r="H117" s="9">
        <f>+'[1]Kiad-Mód'!F125</f>
        <v>0</v>
      </c>
      <c r="I117" s="9">
        <f t="shared" si="82"/>
        <v>0</v>
      </c>
      <c r="J117" s="9">
        <v>0</v>
      </c>
      <c r="K117" s="29">
        <v>0</v>
      </c>
      <c r="L117" s="3">
        <v>0</v>
      </c>
      <c r="M117" s="26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269">
        <v>0</v>
      </c>
      <c r="T117" s="269">
        <v>0</v>
      </c>
      <c r="U117" s="269">
        <f t="shared" si="83"/>
        <v>0</v>
      </c>
    </row>
    <row r="118" spans="1:21" x14ac:dyDescent="0.25">
      <c r="A118" s="103">
        <f t="shared" si="57"/>
        <v>115</v>
      </c>
      <c r="B118" s="3"/>
      <c r="C118" s="3" t="s">
        <v>5</v>
      </c>
      <c r="D118" s="3"/>
      <c r="E118" s="9">
        <f>SUM(E119:E123)</f>
        <v>0</v>
      </c>
      <c r="F118" s="16">
        <v>1702</v>
      </c>
      <c r="G118" s="29">
        <v>0</v>
      </c>
      <c r="H118" s="9">
        <f>SUM(H119:H123)</f>
        <v>0</v>
      </c>
      <c r="I118" s="9">
        <f t="shared" si="82"/>
        <v>0</v>
      </c>
      <c r="J118" s="9">
        <v>0</v>
      </c>
      <c r="K118" s="29">
        <v>0</v>
      </c>
      <c r="L118" s="3">
        <v>0</v>
      </c>
      <c r="M118" s="26">
        <v>0</v>
      </c>
      <c r="N118" s="9">
        <v>0</v>
      </c>
      <c r="O118" s="110">
        <f>SUM(O119:O123)</f>
        <v>0</v>
      </c>
      <c r="P118" s="110">
        <f>SUM(P119:P123)</f>
        <v>0</v>
      </c>
      <c r="Q118" s="110">
        <f>SUM(Q119:Q123)</f>
        <v>0</v>
      </c>
      <c r="R118" s="110">
        <f>SUM(R119:R123)</f>
        <v>0</v>
      </c>
      <c r="S118" s="272">
        <f>SUM(S119:S123)</f>
        <v>0</v>
      </c>
      <c r="T118" s="272">
        <f t="shared" ref="T118:U118" si="84">SUM(T119:T123)</f>
        <v>0</v>
      </c>
      <c r="U118" s="272">
        <f t="shared" si="84"/>
        <v>0</v>
      </c>
    </row>
    <row r="119" spans="1:21" x14ac:dyDescent="0.25">
      <c r="A119" s="103">
        <f t="shared" si="57"/>
        <v>116</v>
      </c>
      <c r="B119" s="3"/>
      <c r="C119" s="3"/>
      <c r="D119" s="23" t="s">
        <v>20</v>
      </c>
      <c r="E119" s="19">
        <v>0</v>
      </c>
      <c r="F119" s="3"/>
      <c r="G119" s="29">
        <v>0</v>
      </c>
      <c r="H119" s="19">
        <f>+'[1]Kiad-Mód'!F127</f>
        <v>0</v>
      </c>
      <c r="I119" s="9">
        <f t="shared" si="82"/>
        <v>0</v>
      </c>
      <c r="J119" s="9">
        <v>0</v>
      </c>
      <c r="K119" s="29">
        <v>0</v>
      </c>
      <c r="L119" s="3">
        <v>0</v>
      </c>
      <c r="M119" s="26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269">
        <v>0</v>
      </c>
      <c r="T119" s="269">
        <v>0</v>
      </c>
      <c r="U119" s="269">
        <f t="shared" ref="U119:U123" si="85">SUM(S119:T119)</f>
        <v>0</v>
      </c>
    </row>
    <row r="120" spans="1:21" x14ac:dyDescent="0.25">
      <c r="A120" s="103">
        <f t="shared" si="57"/>
        <v>117</v>
      </c>
      <c r="B120" s="3"/>
      <c r="C120" s="3"/>
      <c r="D120" s="22" t="s">
        <v>358</v>
      </c>
      <c r="E120" s="19">
        <v>0</v>
      </c>
      <c r="F120" s="3">
        <v>1702</v>
      </c>
      <c r="G120" s="29">
        <v>0</v>
      </c>
      <c r="H120" s="19">
        <f>+'[1]Kiad-Mód'!F128</f>
        <v>0</v>
      </c>
      <c r="I120" s="9">
        <f t="shared" si="82"/>
        <v>0</v>
      </c>
      <c r="J120" s="9">
        <v>0</v>
      </c>
      <c r="K120" s="29">
        <v>0</v>
      </c>
      <c r="L120" s="3">
        <v>0</v>
      </c>
      <c r="M120" s="26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269">
        <v>0</v>
      </c>
      <c r="T120" s="269">
        <v>0</v>
      </c>
      <c r="U120" s="269">
        <f t="shared" si="85"/>
        <v>0</v>
      </c>
    </row>
    <row r="121" spans="1:21" x14ac:dyDescent="0.25">
      <c r="A121" s="103">
        <f t="shared" si="57"/>
        <v>118</v>
      </c>
      <c r="B121" s="3"/>
      <c r="C121" s="3"/>
      <c r="D121" s="22" t="s">
        <v>359</v>
      </c>
      <c r="E121" s="19">
        <v>0</v>
      </c>
      <c r="F121" s="3">
        <v>0</v>
      </c>
      <c r="G121" s="29">
        <v>0</v>
      </c>
      <c r="H121" s="19">
        <f>+'[1]Kiad-Mód'!F129</f>
        <v>0</v>
      </c>
      <c r="I121" s="9">
        <f t="shared" si="82"/>
        <v>0</v>
      </c>
      <c r="J121" s="9">
        <v>0</v>
      </c>
      <c r="K121" s="29">
        <v>0</v>
      </c>
      <c r="L121" s="3">
        <v>0</v>
      </c>
      <c r="M121" s="26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269">
        <v>0</v>
      </c>
      <c r="T121" s="269">
        <v>0</v>
      </c>
      <c r="U121" s="269">
        <f t="shared" si="85"/>
        <v>0</v>
      </c>
    </row>
    <row r="122" spans="1:21" x14ac:dyDescent="0.25">
      <c r="A122" s="103">
        <f t="shared" si="57"/>
        <v>119</v>
      </c>
      <c r="B122" s="3"/>
      <c r="C122" s="3"/>
      <c r="D122" s="22" t="s">
        <v>6</v>
      </c>
      <c r="E122" s="19">
        <v>0</v>
      </c>
      <c r="F122" s="3">
        <v>0</v>
      </c>
      <c r="G122" s="29">
        <v>0</v>
      </c>
      <c r="H122" s="19">
        <f>+'[1]Kiad-Mód'!F130</f>
        <v>0</v>
      </c>
      <c r="I122" s="9">
        <f t="shared" si="82"/>
        <v>0</v>
      </c>
      <c r="J122" s="9">
        <v>0</v>
      </c>
      <c r="K122" s="29">
        <v>0</v>
      </c>
      <c r="L122" s="3">
        <v>0</v>
      </c>
      <c r="M122" s="26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269">
        <v>0</v>
      </c>
      <c r="T122" s="269">
        <v>0</v>
      </c>
      <c r="U122" s="269">
        <f t="shared" si="85"/>
        <v>0</v>
      </c>
    </row>
    <row r="123" spans="1:21" x14ac:dyDescent="0.25">
      <c r="A123" s="103">
        <f t="shared" si="57"/>
        <v>120</v>
      </c>
      <c r="B123" s="3"/>
      <c r="C123" s="3"/>
      <c r="D123" s="22" t="s">
        <v>7</v>
      </c>
      <c r="E123" s="19">
        <v>0</v>
      </c>
      <c r="F123" s="3">
        <v>0</v>
      </c>
      <c r="G123" s="29">
        <v>0</v>
      </c>
      <c r="H123" s="19">
        <f>+'[1]Kiad-Mód'!F131</f>
        <v>0</v>
      </c>
      <c r="I123" s="9">
        <f t="shared" si="82"/>
        <v>0</v>
      </c>
      <c r="J123" s="9">
        <v>0</v>
      </c>
      <c r="K123" s="29">
        <v>0</v>
      </c>
      <c r="L123" s="3">
        <v>0</v>
      </c>
      <c r="M123" s="26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269">
        <v>0</v>
      </c>
      <c r="T123" s="269">
        <v>0</v>
      </c>
      <c r="U123" s="269">
        <f t="shared" si="85"/>
        <v>0</v>
      </c>
    </row>
    <row r="124" spans="1:21" x14ac:dyDescent="0.25">
      <c r="A124" s="103">
        <f t="shared" si="57"/>
        <v>121</v>
      </c>
      <c r="B124" s="16" t="s">
        <v>9</v>
      </c>
      <c r="C124" s="16"/>
      <c r="D124" s="16"/>
      <c r="E124" s="11">
        <f>SUM(E127,E126,E125)</f>
        <v>9253</v>
      </c>
      <c r="F124" s="11">
        <f t="shared" ref="F124:G124" si="86">SUM(F127,F126,F125)</f>
        <v>7599</v>
      </c>
      <c r="G124" s="31">
        <f t="shared" si="86"/>
        <v>4905</v>
      </c>
      <c r="H124" s="11">
        <v>5000</v>
      </c>
      <c r="I124" s="11">
        <f t="shared" si="82"/>
        <v>9905</v>
      </c>
      <c r="J124" s="11">
        <v>3360</v>
      </c>
      <c r="K124" s="31">
        <f>K125+K126</f>
        <v>13265</v>
      </c>
      <c r="L124" s="16">
        <v>0</v>
      </c>
      <c r="M124" s="31">
        <v>13265</v>
      </c>
      <c r="N124" s="11">
        <v>0</v>
      </c>
      <c r="O124" s="111">
        <f>SUM(O125:O127)</f>
        <v>2876</v>
      </c>
      <c r="P124" s="111">
        <f>SUM(P125:P127)</f>
        <v>4943</v>
      </c>
      <c r="Q124" s="111">
        <f>SUM(Q125:Q127)</f>
        <v>4528</v>
      </c>
      <c r="R124" s="111">
        <f>SUM(R125:R127)</f>
        <v>18291</v>
      </c>
      <c r="S124" s="112">
        <f>SUM(S125:S127)</f>
        <v>10542</v>
      </c>
      <c r="T124" s="112">
        <f t="shared" ref="T124:U124" si="87">SUM(T125:T127)</f>
        <v>0</v>
      </c>
      <c r="U124" s="112">
        <f t="shared" si="87"/>
        <v>10542</v>
      </c>
    </row>
    <row r="125" spans="1:21" x14ac:dyDescent="0.25">
      <c r="A125" s="103">
        <f t="shared" si="57"/>
        <v>122</v>
      </c>
      <c r="B125" s="3"/>
      <c r="C125" s="3" t="s">
        <v>10</v>
      </c>
      <c r="D125" s="3"/>
      <c r="E125" s="9">
        <v>5253</v>
      </c>
      <c r="F125" s="9">
        <v>7599</v>
      </c>
      <c r="G125" s="29">
        <v>4505</v>
      </c>
      <c r="H125" s="9">
        <v>5000</v>
      </c>
      <c r="I125" s="9">
        <f t="shared" si="82"/>
        <v>9505</v>
      </c>
      <c r="J125" s="9">
        <f>360+3000</f>
        <v>3360</v>
      </c>
      <c r="K125" s="29">
        <f>J125+I125</f>
        <v>12865</v>
      </c>
      <c r="L125" s="3">
        <v>0</v>
      </c>
      <c r="M125" s="29">
        <v>12865</v>
      </c>
      <c r="N125" s="9">
        <v>0</v>
      </c>
      <c r="O125" s="9">
        <v>2285</v>
      </c>
      <c r="P125" s="9">
        <v>4943</v>
      </c>
      <c r="Q125" s="9">
        <v>1528</v>
      </c>
      <c r="R125" s="9">
        <v>8541</v>
      </c>
      <c r="S125" s="269">
        <v>10022</v>
      </c>
      <c r="T125" s="269">
        <v>0</v>
      </c>
      <c r="U125" s="269">
        <f t="shared" ref="U125:U126" si="88">SUM(S125:T125)</f>
        <v>10022</v>
      </c>
    </row>
    <row r="126" spans="1:21" x14ac:dyDescent="0.25">
      <c r="A126" s="103">
        <f t="shared" si="57"/>
        <v>123</v>
      </c>
      <c r="B126" s="3"/>
      <c r="C126" s="3" t="s">
        <v>11</v>
      </c>
      <c r="D126" s="3"/>
      <c r="E126" s="9">
        <v>4000</v>
      </c>
      <c r="F126" s="9">
        <v>0</v>
      </c>
      <c r="G126" s="29">
        <v>400</v>
      </c>
      <c r="H126" s="9">
        <f>+'[1]Kiad-Mód'!F134</f>
        <v>0</v>
      </c>
      <c r="I126" s="9">
        <f t="shared" si="82"/>
        <v>400</v>
      </c>
      <c r="J126" s="9">
        <v>0</v>
      </c>
      <c r="K126" s="29">
        <v>400</v>
      </c>
      <c r="L126" s="3">
        <v>0</v>
      </c>
      <c r="M126" s="26">
        <v>400</v>
      </c>
      <c r="N126" s="9">
        <v>0</v>
      </c>
      <c r="O126" s="9">
        <v>591</v>
      </c>
      <c r="P126" s="9">
        <v>0</v>
      </c>
      <c r="Q126" s="9">
        <v>3000</v>
      </c>
      <c r="R126" s="9">
        <v>9750</v>
      </c>
      <c r="S126" s="269">
        <v>520</v>
      </c>
      <c r="T126" s="269">
        <v>0</v>
      </c>
      <c r="U126" s="269">
        <f t="shared" si="88"/>
        <v>520</v>
      </c>
    </row>
    <row r="127" spans="1:21" x14ac:dyDescent="0.25">
      <c r="A127" s="103">
        <f t="shared" si="57"/>
        <v>124</v>
      </c>
      <c r="B127" s="3"/>
      <c r="C127" s="3" t="s">
        <v>12</v>
      </c>
      <c r="D127" s="3"/>
      <c r="E127" s="9">
        <f>SUM(E128:E130)</f>
        <v>0</v>
      </c>
      <c r="F127" s="3">
        <v>0</v>
      </c>
      <c r="G127" s="29">
        <v>0</v>
      </c>
      <c r="H127" s="9">
        <f>SUM(H128:H130)</f>
        <v>0</v>
      </c>
      <c r="I127" s="9">
        <f t="shared" si="82"/>
        <v>0</v>
      </c>
      <c r="J127" s="9">
        <v>0</v>
      </c>
      <c r="K127" s="29">
        <v>0</v>
      </c>
      <c r="L127" s="3">
        <v>0</v>
      </c>
      <c r="M127" s="26">
        <v>0</v>
      </c>
      <c r="N127" s="9">
        <v>0</v>
      </c>
      <c r="O127" s="110">
        <f>SUM(O128:O130)</f>
        <v>0</v>
      </c>
      <c r="P127" s="110">
        <f>SUM(P128:P130)</f>
        <v>0</v>
      </c>
      <c r="Q127" s="110">
        <f>SUM(Q128:Q130)</f>
        <v>0</v>
      </c>
      <c r="R127" s="110">
        <f>SUM(R128:R130)</f>
        <v>0</v>
      </c>
      <c r="S127" s="272">
        <f>SUM(S128:S130)</f>
        <v>0</v>
      </c>
      <c r="T127" s="272">
        <f t="shared" ref="T127:U127" si="89">SUM(T128:T130)</f>
        <v>0</v>
      </c>
      <c r="U127" s="272">
        <f t="shared" si="89"/>
        <v>0</v>
      </c>
    </row>
    <row r="128" spans="1:21" x14ac:dyDescent="0.25">
      <c r="A128" s="103">
        <f t="shared" si="57"/>
        <v>125</v>
      </c>
      <c r="B128" s="3"/>
      <c r="C128" s="3"/>
      <c r="D128" s="22" t="s">
        <v>13</v>
      </c>
      <c r="E128" s="19">
        <v>0</v>
      </c>
      <c r="F128" s="3">
        <v>0</v>
      </c>
      <c r="G128" s="29">
        <v>0</v>
      </c>
      <c r="H128" s="19">
        <f>+'[1]Kiad-Mód'!F136</f>
        <v>0</v>
      </c>
      <c r="I128" s="9">
        <f t="shared" si="82"/>
        <v>0</v>
      </c>
      <c r="J128" s="9">
        <v>0</v>
      </c>
      <c r="K128" s="29">
        <v>0</v>
      </c>
      <c r="L128" s="3">
        <v>0</v>
      </c>
      <c r="M128" s="26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269">
        <v>0</v>
      </c>
      <c r="T128" s="269">
        <v>0</v>
      </c>
      <c r="U128" s="269">
        <f t="shared" ref="U128:U130" si="90">SUM(S128:T128)</f>
        <v>0</v>
      </c>
    </row>
    <row r="129" spans="1:21" ht="30" x14ac:dyDescent="0.25">
      <c r="A129" s="103">
        <f t="shared" si="57"/>
        <v>126</v>
      </c>
      <c r="B129" s="3"/>
      <c r="C129" s="3"/>
      <c r="D129" s="18" t="s">
        <v>346</v>
      </c>
      <c r="E129" s="19">
        <v>0</v>
      </c>
      <c r="F129" s="3">
        <v>0</v>
      </c>
      <c r="G129" s="29">
        <v>0</v>
      </c>
      <c r="H129" s="19">
        <f>+'[1]Kiad-Mód'!F137</f>
        <v>0</v>
      </c>
      <c r="I129" s="9">
        <f t="shared" si="82"/>
        <v>0</v>
      </c>
      <c r="J129" s="9">
        <v>0</v>
      </c>
      <c r="K129" s="29">
        <v>0</v>
      </c>
      <c r="L129" s="3">
        <v>0</v>
      </c>
      <c r="M129" s="26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269">
        <v>0</v>
      </c>
      <c r="T129" s="269">
        <v>0</v>
      </c>
      <c r="U129" s="269">
        <f t="shared" si="90"/>
        <v>0</v>
      </c>
    </row>
    <row r="130" spans="1:21" x14ac:dyDescent="0.25">
      <c r="A130" s="103">
        <f t="shared" si="57"/>
        <v>127</v>
      </c>
      <c r="B130" s="3"/>
      <c r="C130" s="3"/>
      <c r="D130" s="22" t="s">
        <v>14</v>
      </c>
      <c r="E130" s="19">
        <v>0</v>
      </c>
      <c r="F130" s="3">
        <v>0</v>
      </c>
      <c r="G130" s="29">
        <v>0</v>
      </c>
      <c r="H130" s="19">
        <f>+'[1]Kiad-Mód'!F138</f>
        <v>0</v>
      </c>
      <c r="I130" s="9">
        <f t="shared" si="82"/>
        <v>0</v>
      </c>
      <c r="J130" s="9">
        <v>0</v>
      </c>
      <c r="K130" s="29">
        <v>0</v>
      </c>
      <c r="L130" s="3">
        <v>0</v>
      </c>
      <c r="M130" s="26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269">
        <v>0</v>
      </c>
      <c r="T130" s="269">
        <v>0</v>
      </c>
      <c r="U130" s="269">
        <f t="shared" si="90"/>
        <v>0</v>
      </c>
    </row>
    <row r="131" spans="1:21" x14ac:dyDescent="0.25">
      <c r="A131" s="103">
        <f t="shared" si="57"/>
        <v>128</v>
      </c>
      <c r="B131" s="16" t="s">
        <v>15</v>
      </c>
      <c r="C131" s="16"/>
      <c r="D131" s="16"/>
      <c r="E131" s="11">
        <f>SUM(E132:E134)</f>
        <v>0</v>
      </c>
      <c r="F131" s="3">
        <v>0</v>
      </c>
      <c r="G131" s="31">
        <f>G132+G133+G134</f>
        <v>0</v>
      </c>
      <c r="H131" s="11">
        <f>SUM(H132:H134)</f>
        <v>0</v>
      </c>
      <c r="I131" s="9">
        <f t="shared" si="82"/>
        <v>0</v>
      </c>
      <c r="J131" s="9">
        <v>0</v>
      </c>
      <c r="K131" s="29">
        <v>0</v>
      </c>
      <c r="L131" s="3">
        <v>0</v>
      </c>
      <c r="M131" s="26">
        <v>0</v>
      </c>
      <c r="N131" s="9">
        <v>0</v>
      </c>
      <c r="O131" s="111">
        <f>SUM(O132:O134)</f>
        <v>0</v>
      </c>
      <c r="P131" s="111">
        <f>SUM(P132:P134)</f>
        <v>0</v>
      </c>
      <c r="Q131" s="111">
        <f>SUM(Q132:Q134)</f>
        <v>0</v>
      </c>
      <c r="R131" s="111">
        <f>SUM(R132:R134)</f>
        <v>0</v>
      </c>
      <c r="S131" s="112">
        <f>SUM(S132:S134)</f>
        <v>0</v>
      </c>
      <c r="T131" s="112">
        <f t="shared" ref="T131:U131" si="91">SUM(T132:T134)</f>
        <v>0</v>
      </c>
      <c r="U131" s="112">
        <f t="shared" si="91"/>
        <v>0</v>
      </c>
    </row>
    <row r="132" spans="1:21" x14ac:dyDescent="0.25">
      <c r="A132" s="103">
        <f t="shared" si="57"/>
        <v>129</v>
      </c>
      <c r="B132" s="3"/>
      <c r="C132" s="3" t="s">
        <v>16</v>
      </c>
      <c r="D132" s="3"/>
      <c r="E132" s="9">
        <v>0</v>
      </c>
      <c r="F132" s="3">
        <v>0</v>
      </c>
      <c r="G132" s="29">
        <v>0</v>
      </c>
      <c r="H132" s="9">
        <f>+'[1]Kiad-Mód'!F140</f>
        <v>0</v>
      </c>
      <c r="I132" s="9">
        <f t="shared" si="82"/>
        <v>0</v>
      </c>
      <c r="J132" s="9">
        <v>0</v>
      </c>
      <c r="K132" s="29">
        <v>0</v>
      </c>
      <c r="L132" s="3">
        <v>0</v>
      </c>
      <c r="M132" s="26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269">
        <v>0</v>
      </c>
      <c r="T132" s="269">
        <v>0</v>
      </c>
      <c r="U132" s="269">
        <f t="shared" ref="U132:U134" si="92">SUM(S132:T132)</f>
        <v>0</v>
      </c>
    </row>
    <row r="133" spans="1:21" x14ac:dyDescent="0.25">
      <c r="A133" s="103">
        <f t="shared" si="57"/>
        <v>130</v>
      </c>
      <c r="B133" s="3"/>
      <c r="C133" s="3" t="s">
        <v>17</v>
      </c>
      <c r="D133" s="3"/>
      <c r="E133" s="9">
        <v>0</v>
      </c>
      <c r="F133" s="3">
        <v>0</v>
      </c>
      <c r="G133" s="29">
        <v>0</v>
      </c>
      <c r="H133" s="9">
        <f>+'[1]Kiad-Mód'!F141</f>
        <v>0</v>
      </c>
      <c r="I133" s="9">
        <f t="shared" si="82"/>
        <v>0</v>
      </c>
      <c r="J133" s="9">
        <v>0</v>
      </c>
      <c r="K133" s="29">
        <v>0</v>
      </c>
      <c r="L133" s="3">
        <v>0</v>
      </c>
      <c r="M133" s="26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269">
        <v>0</v>
      </c>
      <c r="T133" s="269">
        <v>0</v>
      </c>
      <c r="U133" s="269">
        <f t="shared" si="92"/>
        <v>0</v>
      </c>
    </row>
    <row r="134" spans="1:21" x14ac:dyDescent="0.25">
      <c r="A134" s="103">
        <f t="shared" si="57"/>
        <v>131</v>
      </c>
      <c r="B134" s="3"/>
      <c r="C134" s="3" t="s">
        <v>18</v>
      </c>
      <c r="D134" s="3"/>
      <c r="E134" s="9">
        <v>0</v>
      </c>
      <c r="F134" s="3">
        <v>0</v>
      </c>
      <c r="G134" s="29">
        <v>0</v>
      </c>
      <c r="H134" s="9">
        <f>+'[1]Kiad-Mód'!F142</f>
        <v>0</v>
      </c>
      <c r="I134" s="9">
        <f t="shared" si="82"/>
        <v>0</v>
      </c>
      <c r="J134" s="9">
        <v>0</v>
      </c>
      <c r="K134" s="29">
        <v>0</v>
      </c>
      <c r="L134" s="3">
        <v>0</v>
      </c>
      <c r="M134" s="26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269">
        <v>0</v>
      </c>
      <c r="T134" s="269">
        <v>0</v>
      </c>
      <c r="U134" s="269">
        <f t="shared" si="92"/>
        <v>0</v>
      </c>
    </row>
    <row r="135" spans="1:21" x14ac:dyDescent="0.25">
      <c r="A135" s="103">
        <f t="shared" si="57"/>
        <v>132</v>
      </c>
      <c r="B135" s="16" t="s">
        <v>19</v>
      </c>
      <c r="C135" s="16"/>
      <c r="D135" s="16"/>
      <c r="E135" s="11">
        <f>SUM(E113,E124,E131)</f>
        <v>420000</v>
      </c>
      <c r="F135" s="11">
        <f t="shared" ref="F135:G135" si="93">SUM(F113,F124,F131)</f>
        <v>533547</v>
      </c>
      <c r="G135" s="31">
        <f t="shared" si="93"/>
        <v>490951</v>
      </c>
      <c r="H135" s="11">
        <f>SUM(H113,H124,H131)</f>
        <v>45521</v>
      </c>
      <c r="I135" s="11">
        <f t="shared" si="82"/>
        <v>536472</v>
      </c>
      <c r="J135" s="11">
        <f>J124+J113</f>
        <v>19587</v>
      </c>
      <c r="K135" s="31">
        <f>K124+K113</f>
        <v>556059</v>
      </c>
      <c r="L135" s="11">
        <v>5763</v>
      </c>
      <c r="M135" s="31">
        <f>M124+M113</f>
        <v>561822</v>
      </c>
      <c r="N135" s="11">
        <f>N113+N124+N131</f>
        <v>553813</v>
      </c>
      <c r="O135" s="112">
        <f>SUM(O131,O124,O113)</f>
        <v>572041</v>
      </c>
      <c r="P135" s="112">
        <f>SUM(P131,P124,P113)</f>
        <v>729031</v>
      </c>
      <c r="Q135" s="112">
        <f>SUM(Q131,Q124,Q113)</f>
        <v>794631</v>
      </c>
      <c r="R135" s="112">
        <f>SUM(R131,R124,R113)</f>
        <v>890988</v>
      </c>
      <c r="S135" s="112">
        <f>SUM(S131,S124,S113)</f>
        <v>926306</v>
      </c>
      <c r="T135" s="112">
        <f t="shared" ref="T135:U135" si="94">SUM(T131,T124,T113)</f>
        <v>33531</v>
      </c>
      <c r="U135" s="112">
        <f t="shared" si="94"/>
        <v>959837</v>
      </c>
    </row>
    <row r="136" spans="1:21" ht="81.599999999999994" customHeight="1" x14ac:dyDescent="0.25">
      <c r="A136" s="103">
        <f t="shared" si="57"/>
        <v>133</v>
      </c>
      <c r="B136" s="16" t="s">
        <v>48</v>
      </c>
      <c r="C136" s="3"/>
      <c r="D136" s="3"/>
      <c r="E136" s="15" t="s">
        <v>107</v>
      </c>
      <c r="F136" s="6" t="s">
        <v>113</v>
      </c>
      <c r="G136" s="25" t="s">
        <v>114</v>
      </c>
      <c r="H136" s="24" t="s">
        <v>111</v>
      </c>
      <c r="I136" s="6" t="s">
        <v>116</v>
      </c>
      <c r="J136" s="6" t="s">
        <v>111</v>
      </c>
      <c r="K136" s="79" t="s">
        <v>258</v>
      </c>
      <c r="L136" s="6" t="s">
        <v>111</v>
      </c>
      <c r="M136" s="79" t="s">
        <v>262</v>
      </c>
      <c r="N136" s="6" t="str">
        <f t="shared" ref="N136:R136" si="95">N$4</f>
        <v>Előirányzat
4/2020. (III.05.) önkormányzati rendelet</v>
      </c>
      <c r="O136" s="6" t="str">
        <f t="shared" si="95"/>
        <v>Előirányzat
 5./2021. (II.25.) polgármesteri rendelet</v>
      </c>
      <c r="P136" s="6" t="str">
        <f t="shared" si="95"/>
        <v>Előirányzat
3/2022. (II.10.) önkormányzati rendelet</v>
      </c>
      <c r="Q136" s="6" t="str">
        <f t="shared" si="95"/>
        <v>Előirányzat
1./2023. (II.23.) önkormányzati rendelet</v>
      </c>
      <c r="R136" s="6" t="str">
        <f t="shared" si="95"/>
        <v>Előirányzat
1./2024. (II)22. önkormányzati rendelet</v>
      </c>
      <c r="S136" s="266" t="str">
        <f ca="1">S$4</f>
        <v>Előirányzat
2/2025. (II.20.) önkormányzati rendelet</v>
      </c>
      <c r="T136" s="266" t="s">
        <v>111</v>
      </c>
      <c r="U136" s="266" t="s">
        <v>384</v>
      </c>
    </row>
    <row r="137" spans="1:21" x14ac:dyDescent="0.25">
      <c r="A137" s="103">
        <f t="shared" si="57"/>
        <v>134</v>
      </c>
      <c r="B137" s="16" t="s">
        <v>25</v>
      </c>
      <c r="C137" s="3"/>
      <c r="D137" s="3"/>
      <c r="E137" s="9"/>
      <c r="F137" s="3"/>
      <c r="G137" s="29"/>
      <c r="H137" s="3"/>
      <c r="I137" s="3"/>
      <c r="J137" s="9"/>
      <c r="K137" s="29"/>
      <c r="L137" s="3"/>
      <c r="M137" s="26"/>
      <c r="N137" s="3"/>
      <c r="O137" s="9"/>
      <c r="P137" s="9"/>
      <c r="Q137" s="9"/>
      <c r="R137" s="9"/>
      <c r="S137" s="269"/>
      <c r="T137" s="269"/>
      <c r="U137" s="269"/>
    </row>
    <row r="138" spans="1:21" x14ac:dyDescent="0.25">
      <c r="A138" s="103">
        <f t="shared" si="57"/>
        <v>135</v>
      </c>
      <c r="B138" s="16"/>
      <c r="C138" s="3" t="s">
        <v>26</v>
      </c>
      <c r="D138" s="3"/>
      <c r="E138" s="9"/>
      <c r="F138" s="3"/>
      <c r="G138" s="29"/>
      <c r="H138" s="3"/>
      <c r="I138" s="3"/>
      <c r="J138" s="9"/>
      <c r="K138" s="29"/>
      <c r="L138" s="3"/>
      <c r="M138" s="26"/>
      <c r="N138" s="3"/>
      <c r="O138" s="9"/>
      <c r="P138" s="9"/>
      <c r="Q138" s="9"/>
      <c r="R138" s="9"/>
      <c r="S138" s="269"/>
      <c r="T138" s="269"/>
      <c r="U138" s="269"/>
    </row>
    <row r="139" spans="1:21" x14ac:dyDescent="0.25">
      <c r="A139" s="103">
        <f t="shared" si="57"/>
        <v>136</v>
      </c>
      <c r="B139" s="16" t="s">
        <v>8</v>
      </c>
      <c r="C139" s="16"/>
      <c r="D139" s="16"/>
      <c r="E139" s="11">
        <f>SUM(E144,E143,E142,E141,E140)</f>
        <v>3304537</v>
      </c>
      <c r="F139" s="11" t="e">
        <f>SUM(F144,F143,F142,F141,F140)</f>
        <v>#REF!</v>
      </c>
      <c r="G139" s="31">
        <f>SUM(G144,G143,G142,G141,G140)</f>
        <v>3269452</v>
      </c>
      <c r="H139" s="36">
        <f>SUM(H144,H143,H142,H141,H140)</f>
        <v>1224924</v>
      </c>
      <c r="I139" s="11">
        <f>H139+G139</f>
        <v>4494376</v>
      </c>
      <c r="J139" s="11">
        <f>J140+J141+J142+J143+J144</f>
        <v>245974</v>
      </c>
      <c r="K139" s="31">
        <f>SUM(K140:K144)</f>
        <v>4740350</v>
      </c>
      <c r="L139" s="31">
        <f>SUM(L140:L144)</f>
        <v>18451</v>
      </c>
      <c r="M139" s="31">
        <f t="shared" ref="M139" si="96">SUM(M140:M144)</f>
        <v>4758801</v>
      </c>
      <c r="N139" s="11">
        <f>N140+N141+N142+N143+N144</f>
        <v>3885185</v>
      </c>
      <c r="O139" s="111">
        <f>SUM(O140:O144)</f>
        <v>4367476</v>
      </c>
      <c r="P139" s="111">
        <f>SUM(P140:P144)</f>
        <v>7054523</v>
      </c>
      <c r="Q139" s="111">
        <f>SUM(Q140:Q144)</f>
        <v>6906657</v>
      </c>
      <c r="R139" s="111">
        <f>SUM(R140:R144)</f>
        <v>6177707</v>
      </c>
      <c r="S139" s="112">
        <f>SUM(S140:S144)</f>
        <v>6482469</v>
      </c>
      <c r="T139" s="112">
        <f t="shared" ref="T139:U139" si="97">SUM(T140:T144)</f>
        <v>279243</v>
      </c>
      <c r="U139" s="112">
        <f t="shared" si="97"/>
        <v>6761712</v>
      </c>
    </row>
    <row r="140" spans="1:21" x14ac:dyDescent="0.25">
      <c r="A140" s="103">
        <f t="shared" si="57"/>
        <v>137</v>
      </c>
      <c r="B140" s="3"/>
      <c r="C140" s="3" t="s">
        <v>2</v>
      </c>
      <c r="D140" s="3"/>
      <c r="E140" s="9">
        <f>SUM(E114,E88,E62,E36,E9)</f>
        <v>1089794</v>
      </c>
      <c r="F140" s="9">
        <v>1650257</v>
      </c>
      <c r="G140" s="29">
        <f>SUM(G114,G88,G62,G36,G9)</f>
        <v>1098520</v>
      </c>
      <c r="H140" s="29">
        <f>SUM(H114,H88,H62,H36,H9)</f>
        <v>277628</v>
      </c>
      <c r="I140" s="29">
        <f>SUM(I114,I88,I62,I36,I9)</f>
        <v>1376148</v>
      </c>
      <c r="J140" s="29">
        <f>SUM(J114,J88,J62,J36,J9)</f>
        <v>53537</v>
      </c>
      <c r="K140" s="29">
        <f>J140+I140</f>
        <v>1429685</v>
      </c>
      <c r="L140" s="29">
        <f>L9+L36+L62+L88+L114</f>
        <v>41734</v>
      </c>
      <c r="M140" s="29">
        <f>K140+L140</f>
        <v>1471419</v>
      </c>
      <c r="N140" s="9">
        <f>N114+N88+N62+N36+N9</f>
        <v>1256567</v>
      </c>
      <c r="O140" s="114">
        <f t="shared" ref="O140:R143" si="98">SUM(O9,O36,O62,O88,O114)</f>
        <v>1319632</v>
      </c>
      <c r="P140" s="114">
        <f t="shared" si="98"/>
        <v>1357922</v>
      </c>
      <c r="Q140" s="114">
        <f t="shared" si="98"/>
        <v>1412680</v>
      </c>
      <c r="R140" s="114">
        <f t="shared" si="98"/>
        <v>1662466</v>
      </c>
      <c r="S140" s="276">
        <f t="shared" ref="S140:T140" si="99">SUM(S9,S36,S62,S88,S114)</f>
        <v>2007345</v>
      </c>
      <c r="T140" s="276">
        <f t="shared" si="99"/>
        <v>172194</v>
      </c>
      <c r="U140" s="276">
        <f t="shared" ref="U140:U143" si="100">SUM(S140:T140)</f>
        <v>2179539</v>
      </c>
    </row>
    <row r="141" spans="1:21" x14ac:dyDescent="0.25">
      <c r="A141" s="103">
        <f t="shared" si="57"/>
        <v>138</v>
      </c>
      <c r="B141" s="3"/>
      <c r="C141" s="3" t="s">
        <v>1</v>
      </c>
      <c r="D141" s="3"/>
      <c r="E141" s="9">
        <f>SUM(E115,E89,E63,E37,E10)</f>
        <v>187274</v>
      </c>
      <c r="F141" s="9">
        <v>267738</v>
      </c>
      <c r="G141" s="29">
        <v>212275</v>
      </c>
      <c r="H141" s="37">
        <f>SUM(H115,H89,H63,H37,H10)</f>
        <v>34754</v>
      </c>
      <c r="I141" s="9">
        <f t="shared" ref="I141:I161" si="101">H141+G141</f>
        <v>247029</v>
      </c>
      <c r="J141" s="9">
        <f>J115+J89+J63+J37+J10</f>
        <v>15126</v>
      </c>
      <c r="K141" s="29">
        <f>J141+I141</f>
        <v>262155</v>
      </c>
      <c r="L141" s="9">
        <f>L115+L89+L63+L37+L10</f>
        <v>10974</v>
      </c>
      <c r="M141" s="29">
        <f t="shared" ref="M141:M143" si="102">K141+L141</f>
        <v>273129</v>
      </c>
      <c r="N141" s="9">
        <f>N115+N89+N63+N37+N10</f>
        <v>225299</v>
      </c>
      <c r="O141" s="114">
        <f t="shared" si="98"/>
        <v>216560</v>
      </c>
      <c r="P141" s="114">
        <f t="shared" si="98"/>
        <v>198139</v>
      </c>
      <c r="Q141" s="114">
        <f t="shared" si="98"/>
        <v>211865</v>
      </c>
      <c r="R141" s="114">
        <f t="shared" si="98"/>
        <v>242869</v>
      </c>
      <c r="S141" s="276">
        <f t="shared" ref="S141:T141" si="103">SUM(S10,S37,S63,S89,S115)</f>
        <v>295559</v>
      </c>
      <c r="T141" s="276">
        <f t="shared" si="103"/>
        <v>11763</v>
      </c>
      <c r="U141" s="276">
        <f t="shared" si="100"/>
        <v>307322</v>
      </c>
    </row>
    <row r="142" spans="1:21" x14ac:dyDescent="0.25">
      <c r="A142" s="103">
        <f t="shared" si="57"/>
        <v>139</v>
      </c>
      <c r="B142" s="3"/>
      <c r="C142" s="3" t="s">
        <v>4</v>
      </c>
      <c r="D142" s="3"/>
      <c r="E142" s="9">
        <f>SUM(E116,E90,E64,E38,E11)</f>
        <v>981343</v>
      </c>
      <c r="F142" s="9">
        <f>SUM(F116,F90,F64,F38,F11)</f>
        <v>2220366</v>
      </c>
      <c r="G142" s="29">
        <v>1029983</v>
      </c>
      <c r="H142" s="37">
        <f>SUM(H116,H90,H64,H38,H11)</f>
        <v>400538</v>
      </c>
      <c r="I142" s="9">
        <f t="shared" si="101"/>
        <v>1430521</v>
      </c>
      <c r="J142" s="9">
        <f>J116+J90+J64+J38+J11-3086</f>
        <v>379651</v>
      </c>
      <c r="K142" s="29">
        <f>J142+I142</f>
        <v>1810172</v>
      </c>
      <c r="L142" s="9">
        <f>L116+L90+L64+L38+L11</f>
        <v>148793</v>
      </c>
      <c r="M142" s="29">
        <f t="shared" si="102"/>
        <v>1958965</v>
      </c>
      <c r="N142" s="9">
        <f>N116+N90+N64+N38+N11</f>
        <v>1351839</v>
      </c>
      <c r="O142" s="114">
        <f t="shared" si="98"/>
        <v>1309640</v>
      </c>
      <c r="P142" s="114">
        <f t="shared" si="98"/>
        <v>3830169</v>
      </c>
      <c r="Q142" s="114">
        <f t="shared" si="98"/>
        <v>3585852</v>
      </c>
      <c r="R142" s="114">
        <f t="shared" si="98"/>
        <v>2751335</v>
      </c>
      <c r="S142" s="276">
        <f t="shared" ref="S142:T142" si="104">SUM(S11,S38,S64,S90,S116)</f>
        <v>2286860</v>
      </c>
      <c r="T142" s="276">
        <f t="shared" si="104"/>
        <v>66710</v>
      </c>
      <c r="U142" s="276">
        <f t="shared" si="100"/>
        <v>2353570</v>
      </c>
    </row>
    <row r="143" spans="1:21" x14ac:dyDescent="0.25">
      <c r="A143" s="103">
        <f t="shared" ref="A143:A163" si="105">A142+1</f>
        <v>140</v>
      </c>
      <c r="B143" s="3"/>
      <c r="C143" s="3" t="s">
        <v>3</v>
      </c>
      <c r="D143" s="3"/>
      <c r="E143" s="9">
        <f>SUM(E117,E91,E65,E39,E12)</f>
        <v>129000</v>
      </c>
      <c r="F143" s="9">
        <f>SUM(F117,F91,F65,F39,F12)</f>
        <v>125043</v>
      </c>
      <c r="G143" s="29">
        <f>SUM(G117,G91,G65,G39,G12)</f>
        <v>108500</v>
      </c>
      <c r="H143" s="37">
        <f>SUM(H117,H91,H65,H39,H12)</f>
        <v>24000</v>
      </c>
      <c r="I143" s="9">
        <f t="shared" si="101"/>
        <v>132500</v>
      </c>
      <c r="J143" s="9">
        <f>J12</f>
        <v>2724</v>
      </c>
      <c r="K143" s="29">
        <f>J143+I143</f>
        <v>135224</v>
      </c>
      <c r="L143" s="3">
        <v>0</v>
      </c>
      <c r="M143" s="29">
        <f t="shared" si="102"/>
        <v>135224</v>
      </c>
      <c r="N143" s="9">
        <f>N12</f>
        <v>149500</v>
      </c>
      <c r="O143" s="114">
        <f t="shared" si="98"/>
        <v>113300</v>
      </c>
      <c r="P143" s="114">
        <f t="shared" si="98"/>
        <v>185000</v>
      </c>
      <c r="Q143" s="114">
        <f t="shared" si="98"/>
        <v>98650</v>
      </c>
      <c r="R143" s="114">
        <f t="shared" si="98"/>
        <v>176650</v>
      </c>
      <c r="S143" s="276">
        <f t="shared" ref="S143:T143" si="106">SUM(S12,S39,S65,S91,S117)</f>
        <v>166650</v>
      </c>
      <c r="T143" s="276">
        <f t="shared" si="106"/>
        <v>0</v>
      </c>
      <c r="U143" s="276">
        <f t="shared" si="100"/>
        <v>166650</v>
      </c>
    </row>
    <row r="144" spans="1:21" x14ac:dyDescent="0.25">
      <c r="A144" s="103">
        <f t="shared" si="105"/>
        <v>141</v>
      </c>
      <c r="B144" s="3"/>
      <c r="C144" s="3" t="s">
        <v>5</v>
      </c>
      <c r="D144" s="3"/>
      <c r="E144" s="11">
        <f>SUM(E145:E149)</f>
        <v>917126</v>
      </c>
      <c r="F144" s="11" t="e">
        <f>F145+#REF!+F146+F147+F148+F149</f>
        <v>#REF!</v>
      </c>
      <c r="G144" s="31">
        <f>SUM(G145:G149)</f>
        <v>820174</v>
      </c>
      <c r="H144" s="31">
        <f>SUM(H145:H149)</f>
        <v>488004</v>
      </c>
      <c r="I144" s="31">
        <f>SUM(I145:I149)</f>
        <v>1308178</v>
      </c>
      <c r="J144" s="31">
        <f>SUM(J145:J149)</f>
        <v>-205064</v>
      </c>
      <c r="K144" s="31">
        <f>SUM(K145:K149)</f>
        <v>1103114</v>
      </c>
      <c r="L144" s="11">
        <f>L118+L92+L66+L40+L13</f>
        <v>-183050</v>
      </c>
      <c r="M144" s="31">
        <f>K144+L144</f>
        <v>920064</v>
      </c>
      <c r="N144" s="11">
        <f t="shared" ref="N144:S144" si="107">SUM(N145:N149)</f>
        <v>901980</v>
      </c>
      <c r="O144" s="113">
        <f t="shared" si="107"/>
        <v>1408344</v>
      </c>
      <c r="P144" s="113">
        <f t="shared" si="107"/>
        <v>1483293</v>
      </c>
      <c r="Q144" s="113">
        <f t="shared" si="107"/>
        <v>1597610</v>
      </c>
      <c r="R144" s="113">
        <f t="shared" si="107"/>
        <v>1344387</v>
      </c>
      <c r="S144" s="271">
        <f t="shared" si="107"/>
        <v>1726055</v>
      </c>
      <c r="T144" s="271">
        <f t="shared" ref="T144:U144" si="108">SUM(T145:T149)</f>
        <v>28576</v>
      </c>
      <c r="U144" s="271">
        <f t="shared" si="108"/>
        <v>1754631</v>
      </c>
    </row>
    <row r="145" spans="1:21" x14ac:dyDescent="0.25">
      <c r="A145" s="103">
        <f t="shared" si="105"/>
        <v>142</v>
      </c>
      <c r="B145" s="3"/>
      <c r="C145" s="3"/>
      <c r="D145" s="23" t="s">
        <v>20</v>
      </c>
      <c r="E145" s="19">
        <f>SUM(E119,E93,E67,E41,E14)</f>
        <v>0</v>
      </c>
      <c r="F145" s="9">
        <v>990</v>
      </c>
      <c r="G145" s="29">
        <f>G119+G93+G67+G41+G14</f>
        <v>0</v>
      </c>
      <c r="H145" s="38">
        <f>SUM(H119,H93,H67,H41,H14)</f>
        <v>0</v>
      </c>
      <c r="I145" s="9">
        <f t="shared" si="101"/>
        <v>0</v>
      </c>
      <c r="J145" s="9">
        <f>J14</f>
        <v>174</v>
      </c>
      <c r="K145" s="29">
        <f>I145+J145</f>
        <v>174</v>
      </c>
      <c r="L145" s="3">
        <v>0</v>
      </c>
      <c r="M145" s="29">
        <f>K145+L145</f>
        <v>174</v>
      </c>
      <c r="N145" s="9">
        <v>0</v>
      </c>
      <c r="O145" s="114">
        <f t="shared" ref="O145:R149" si="109">SUM(O14,O41,O67,O93,O119)</f>
        <v>202056</v>
      </c>
      <c r="P145" s="114">
        <f t="shared" si="109"/>
        <v>179069</v>
      </c>
      <c r="Q145" s="114">
        <f t="shared" si="109"/>
        <v>289487</v>
      </c>
      <c r="R145" s="114">
        <f t="shared" si="109"/>
        <v>408455</v>
      </c>
      <c r="S145" s="276">
        <f t="shared" ref="S145:T145" si="110">SUM(S14,S41,S67,S93,S119)</f>
        <v>510000</v>
      </c>
      <c r="T145" s="276">
        <f t="shared" si="110"/>
        <v>14451</v>
      </c>
      <c r="U145" s="276">
        <f t="shared" ref="U145:U149" si="111">SUM(S145:T145)</f>
        <v>524451</v>
      </c>
    </row>
    <row r="146" spans="1:21" x14ac:dyDescent="0.25">
      <c r="A146" s="103">
        <f t="shared" si="105"/>
        <v>143</v>
      </c>
      <c r="B146" s="3"/>
      <c r="C146" s="3"/>
      <c r="D146" s="22" t="s">
        <v>358</v>
      </c>
      <c r="E146" s="19">
        <f>SUM(E120,E94,E68,E42,E15)</f>
        <v>0</v>
      </c>
      <c r="F146" s="9">
        <v>54646</v>
      </c>
      <c r="G146" s="29">
        <f>G120+G94+G68+G42+G15</f>
        <v>25000</v>
      </c>
      <c r="H146" s="38">
        <f>SUM(H120,H94,H68,H42,H15)</f>
        <v>26174</v>
      </c>
      <c r="I146" s="9">
        <f t="shared" si="101"/>
        <v>51174</v>
      </c>
      <c r="J146" s="9">
        <f>J15</f>
        <v>1432</v>
      </c>
      <c r="K146" s="29">
        <f>J146+I146</f>
        <v>52606</v>
      </c>
      <c r="L146" s="3">
        <v>0</v>
      </c>
      <c r="M146" s="29">
        <f>K146+L146</f>
        <v>52606</v>
      </c>
      <c r="N146" s="9">
        <v>0</v>
      </c>
      <c r="O146" s="114">
        <f t="shared" si="109"/>
        <v>44077</v>
      </c>
      <c r="P146" s="114">
        <f t="shared" si="109"/>
        <v>120090</v>
      </c>
      <c r="Q146" s="114">
        <f t="shared" si="109"/>
        <v>138474</v>
      </c>
      <c r="R146" s="114">
        <f t="shared" si="109"/>
        <v>99843</v>
      </c>
      <c r="S146" s="276">
        <f t="shared" ref="S146" si="112">SUM(S15,S42,S68,S94,S120)</f>
        <v>132522</v>
      </c>
      <c r="T146" s="276">
        <f>SUM(T15,T42,T68,T94,T120)</f>
        <v>8542</v>
      </c>
      <c r="U146" s="276">
        <f t="shared" si="111"/>
        <v>141064</v>
      </c>
    </row>
    <row r="147" spans="1:21" x14ac:dyDescent="0.25">
      <c r="A147" s="103">
        <f t="shared" si="105"/>
        <v>144</v>
      </c>
      <c r="B147" s="3"/>
      <c r="C147" s="3"/>
      <c r="D147" s="22" t="s">
        <v>359</v>
      </c>
      <c r="E147" s="9">
        <f>SUM(E121,E95,E69,E43,E16)</f>
        <v>456646</v>
      </c>
      <c r="F147" s="9">
        <f t="shared" ref="F147:G149" si="113">SUM(F121,F95,F69,F43,F16)</f>
        <v>556464</v>
      </c>
      <c r="G147" s="29">
        <f t="shared" si="113"/>
        <v>584074</v>
      </c>
      <c r="H147" s="38">
        <f>SUM(H121,H95,H69,H43,H16)</f>
        <v>-28000</v>
      </c>
      <c r="I147" s="9">
        <f t="shared" si="101"/>
        <v>556074</v>
      </c>
      <c r="J147" s="9">
        <f>J16</f>
        <v>6184</v>
      </c>
      <c r="K147" s="29">
        <f>J147+I147</f>
        <v>562258</v>
      </c>
      <c r="L147" s="9">
        <f>L16</f>
        <v>7700</v>
      </c>
      <c r="M147" s="29">
        <f>+K147+L147</f>
        <v>569958</v>
      </c>
      <c r="N147" s="9">
        <f>N16</f>
        <v>534237</v>
      </c>
      <c r="O147" s="114">
        <f t="shared" si="109"/>
        <v>487345</v>
      </c>
      <c r="P147" s="114">
        <f t="shared" si="109"/>
        <v>665800</v>
      </c>
      <c r="Q147" s="114">
        <f t="shared" si="109"/>
        <v>577600</v>
      </c>
      <c r="R147" s="114">
        <f t="shared" si="109"/>
        <v>560100</v>
      </c>
      <c r="S147" s="276">
        <f t="shared" ref="S147:T147" si="114">SUM(S16,S43,S69,S95,S121)</f>
        <v>827437</v>
      </c>
      <c r="T147" s="276">
        <f t="shared" si="114"/>
        <v>9077</v>
      </c>
      <c r="U147" s="276">
        <f t="shared" si="111"/>
        <v>836514</v>
      </c>
    </row>
    <row r="148" spans="1:21" x14ac:dyDescent="0.25">
      <c r="A148" s="103">
        <f t="shared" si="105"/>
        <v>145</v>
      </c>
      <c r="B148" s="3"/>
      <c r="C148" s="3"/>
      <c r="D148" s="22" t="s">
        <v>102</v>
      </c>
      <c r="E148" s="9">
        <f>SUM(E122,E96,E70,E44,E17)</f>
        <v>50000</v>
      </c>
      <c r="F148" s="9">
        <f t="shared" si="113"/>
        <v>109538</v>
      </c>
      <c r="G148" s="29">
        <f t="shared" si="113"/>
        <v>50000</v>
      </c>
      <c r="H148" s="38">
        <f>SUM(H122,H96,H70,H44,H17)</f>
        <v>489830</v>
      </c>
      <c r="I148" s="9">
        <f t="shared" si="101"/>
        <v>539830</v>
      </c>
      <c r="J148" s="9">
        <f>J17</f>
        <v>-212854</v>
      </c>
      <c r="K148" s="29">
        <f>J148+I148</f>
        <v>326976</v>
      </c>
      <c r="L148" s="9">
        <f>L17</f>
        <v>-156406</v>
      </c>
      <c r="M148" s="29">
        <f t="shared" ref="M148:M154" si="115">K148+L148</f>
        <v>170570</v>
      </c>
      <c r="N148" s="9">
        <f>N17</f>
        <v>298576</v>
      </c>
      <c r="O148" s="114">
        <f t="shared" si="109"/>
        <v>542717</v>
      </c>
      <c r="P148" s="114">
        <f t="shared" si="109"/>
        <v>430053</v>
      </c>
      <c r="Q148" s="114">
        <f t="shared" si="109"/>
        <v>218351</v>
      </c>
      <c r="R148" s="114">
        <f t="shared" si="109"/>
        <v>222074</v>
      </c>
      <c r="S148" s="276">
        <f t="shared" ref="S148:T148" si="116">SUM(S17,S44,S70,S96,S122)</f>
        <v>202181</v>
      </c>
      <c r="T148" s="276">
        <f t="shared" si="116"/>
        <v>-3494</v>
      </c>
      <c r="U148" s="276">
        <f t="shared" si="111"/>
        <v>198687</v>
      </c>
    </row>
    <row r="149" spans="1:21" x14ac:dyDescent="0.25">
      <c r="A149" s="103">
        <f t="shared" si="105"/>
        <v>146</v>
      </c>
      <c r="B149" s="3"/>
      <c r="C149" s="3"/>
      <c r="D149" s="22" t="s">
        <v>103</v>
      </c>
      <c r="E149" s="9">
        <f>SUM(E123,E97,E71,E45,E18)</f>
        <v>410480</v>
      </c>
      <c r="F149" s="9">
        <f t="shared" si="113"/>
        <v>456696</v>
      </c>
      <c r="G149" s="29">
        <f t="shared" si="113"/>
        <v>161100</v>
      </c>
      <c r="H149" s="38">
        <f>SUM(H123,H97,H71,H45,H18)</f>
        <v>0</v>
      </c>
      <c r="I149" s="9">
        <f t="shared" si="101"/>
        <v>161100</v>
      </c>
      <c r="J149" s="9">
        <f>J18</f>
        <v>0</v>
      </c>
      <c r="K149" s="29">
        <f>J149+I149</f>
        <v>161100</v>
      </c>
      <c r="L149" s="9">
        <f>L18</f>
        <v>-34344</v>
      </c>
      <c r="M149" s="29">
        <f t="shared" si="115"/>
        <v>126756</v>
      </c>
      <c r="N149" s="9">
        <f>N18</f>
        <v>69167</v>
      </c>
      <c r="O149" s="114">
        <f t="shared" si="109"/>
        <v>132149</v>
      </c>
      <c r="P149" s="114">
        <f t="shared" si="109"/>
        <v>88281</v>
      </c>
      <c r="Q149" s="114">
        <f t="shared" si="109"/>
        <v>373698</v>
      </c>
      <c r="R149" s="114">
        <f t="shared" si="109"/>
        <v>53915</v>
      </c>
      <c r="S149" s="276">
        <f t="shared" ref="S149:T149" si="117">SUM(S18,S45,S71,S97,S123)</f>
        <v>53915</v>
      </c>
      <c r="T149" s="276">
        <f t="shared" si="117"/>
        <v>0</v>
      </c>
      <c r="U149" s="276">
        <f t="shared" si="111"/>
        <v>53915</v>
      </c>
    </row>
    <row r="150" spans="1:21" x14ac:dyDescent="0.25">
      <c r="A150" s="103">
        <f t="shared" si="105"/>
        <v>147</v>
      </c>
      <c r="B150" s="16" t="s">
        <v>9</v>
      </c>
      <c r="C150" s="16"/>
      <c r="D150" s="16"/>
      <c r="E150" s="11">
        <f>SUM(E153,E152,E151)</f>
        <v>4348414</v>
      </c>
      <c r="F150" s="11">
        <f t="shared" ref="F150:K150" si="118">SUM(F153,F152,F151)</f>
        <v>6483291</v>
      </c>
      <c r="G150" s="31">
        <f t="shared" si="118"/>
        <v>3980355</v>
      </c>
      <c r="H150" s="31">
        <f t="shared" si="118"/>
        <v>-434457</v>
      </c>
      <c r="I150" s="31">
        <f t="shared" si="118"/>
        <v>3545898</v>
      </c>
      <c r="J150" s="31">
        <f t="shared" si="118"/>
        <v>-35914</v>
      </c>
      <c r="K150" s="31">
        <f t="shared" si="118"/>
        <v>3509984</v>
      </c>
      <c r="L150" s="11">
        <f>L151+L152</f>
        <v>222651</v>
      </c>
      <c r="M150" s="31">
        <f t="shared" si="115"/>
        <v>3732635</v>
      </c>
      <c r="N150" s="11">
        <f>N151+N152+N153</f>
        <v>1576837</v>
      </c>
      <c r="O150" s="111">
        <f>SUM(O151:O153)</f>
        <v>894806</v>
      </c>
      <c r="P150" s="111">
        <f>SUM(P151:P153)</f>
        <v>9413221</v>
      </c>
      <c r="Q150" s="111">
        <f>SUM(Q151:Q153)</f>
        <v>5136745</v>
      </c>
      <c r="R150" s="111">
        <f>SUM(R151:R153)</f>
        <v>3490943</v>
      </c>
      <c r="S150" s="112">
        <f>SUM(S151:S153)</f>
        <v>907898</v>
      </c>
      <c r="T150" s="112">
        <f t="shared" ref="T150:U150" si="119">SUM(T151:T153)</f>
        <v>277171</v>
      </c>
      <c r="U150" s="112">
        <f t="shared" si="119"/>
        <v>1185069</v>
      </c>
    </row>
    <row r="151" spans="1:21" x14ac:dyDescent="0.25">
      <c r="A151" s="103">
        <f t="shared" si="105"/>
        <v>148</v>
      </c>
      <c r="B151" s="3"/>
      <c r="C151" s="3" t="s">
        <v>10</v>
      </c>
      <c r="D151" s="3"/>
      <c r="E151" s="9">
        <f t="shared" ref="E151:H152" si="120">SUM(E125,E99,E73,E47,E20)</f>
        <v>4223234</v>
      </c>
      <c r="F151" s="9">
        <f t="shared" si="120"/>
        <v>5227625</v>
      </c>
      <c r="G151" s="29">
        <f t="shared" si="120"/>
        <v>3274039</v>
      </c>
      <c r="H151" s="37">
        <f t="shared" si="120"/>
        <v>-438012</v>
      </c>
      <c r="I151" s="9">
        <f t="shared" si="101"/>
        <v>2836027</v>
      </c>
      <c r="J151" s="9">
        <f>J125+J99+J73+J47+J20</f>
        <v>-398223</v>
      </c>
      <c r="K151" s="29">
        <f>J151+I151</f>
        <v>2437804</v>
      </c>
      <c r="L151" s="9">
        <f>L20+L47</f>
        <v>213502</v>
      </c>
      <c r="M151" s="29">
        <f t="shared" si="115"/>
        <v>2651306</v>
      </c>
      <c r="N151" s="9">
        <f>N99+N47+N20</f>
        <v>848063</v>
      </c>
      <c r="O151" s="114">
        <f t="shared" ref="O151:R152" si="121">O20+O47+O73+O99+O125</f>
        <v>588862</v>
      </c>
      <c r="P151" s="114">
        <f t="shared" si="121"/>
        <v>8247452</v>
      </c>
      <c r="Q151" s="114">
        <f t="shared" si="121"/>
        <v>4983477</v>
      </c>
      <c r="R151" s="114">
        <f t="shared" si="121"/>
        <v>3335248</v>
      </c>
      <c r="S151" s="276">
        <f t="shared" ref="S151:T151" si="122">S20+S47+S73+S99+S125</f>
        <v>282003</v>
      </c>
      <c r="T151" s="276">
        <f t="shared" si="122"/>
        <v>12586</v>
      </c>
      <c r="U151" s="276">
        <f t="shared" ref="U151:U162" si="123">SUM(S151:T151)</f>
        <v>294589</v>
      </c>
    </row>
    <row r="152" spans="1:21" x14ac:dyDescent="0.25">
      <c r="A152" s="103">
        <f t="shared" si="105"/>
        <v>149</v>
      </c>
      <c r="B152" s="3"/>
      <c r="C152" s="3" t="s">
        <v>11</v>
      </c>
      <c r="D152" s="3"/>
      <c r="E152" s="9">
        <f t="shared" si="120"/>
        <v>110180</v>
      </c>
      <c r="F152" s="9">
        <f t="shared" si="120"/>
        <v>1205666</v>
      </c>
      <c r="G152" s="29">
        <f t="shared" si="120"/>
        <v>677316</v>
      </c>
      <c r="H152" s="37">
        <f t="shared" si="120"/>
        <v>-4445</v>
      </c>
      <c r="I152" s="9">
        <f t="shared" si="101"/>
        <v>672871</v>
      </c>
      <c r="J152" s="9">
        <f>J126+J99+J73+J48+J21</f>
        <v>350622</v>
      </c>
      <c r="K152" s="29">
        <f>J152+I152</f>
        <v>1023493</v>
      </c>
      <c r="L152" s="9">
        <f>L21</f>
        <v>9149</v>
      </c>
      <c r="M152" s="29">
        <f t="shared" si="115"/>
        <v>1032642</v>
      </c>
      <c r="N152" s="9">
        <f>N21</f>
        <v>673774</v>
      </c>
      <c r="O152" s="114">
        <f t="shared" si="121"/>
        <v>305944</v>
      </c>
      <c r="P152" s="114">
        <f t="shared" si="121"/>
        <v>1165769</v>
      </c>
      <c r="Q152" s="114">
        <f t="shared" si="121"/>
        <v>151154</v>
      </c>
      <c r="R152" s="114">
        <f t="shared" si="121"/>
        <v>31250</v>
      </c>
      <c r="S152" s="276">
        <f t="shared" ref="S152:T152" si="124">S21+S48+S74+S100+S126</f>
        <v>535214</v>
      </c>
      <c r="T152" s="276">
        <f t="shared" si="124"/>
        <v>264574</v>
      </c>
      <c r="U152" s="276">
        <f t="shared" si="123"/>
        <v>799788</v>
      </c>
    </row>
    <row r="153" spans="1:21" x14ac:dyDescent="0.25">
      <c r="A153" s="103">
        <f t="shared" si="105"/>
        <v>150</v>
      </c>
      <c r="B153" s="3"/>
      <c r="C153" s="3" t="s">
        <v>12</v>
      </c>
      <c r="D153" s="3"/>
      <c r="E153" s="9">
        <f t="shared" ref="E153:J153" si="125">E127+E101+E75+E49+E22</f>
        <v>15000</v>
      </c>
      <c r="F153" s="9">
        <f t="shared" si="125"/>
        <v>50000</v>
      </c>
      <c r="G153" s="9">
        <f t="shared" si="125"/>
        <v>29000</v>
      </c>
      <c r="H153" s="9">
        <f t="shared" si="125"/>
        <v>8000</v>
      </c>
      <c r="I153" s="9">
        <f t="shared" si="125"/>
        <v>37000</v>
      </c>
      <c r="J153" s="9">
        <f t="shared" si="125"/>
        <v>11687</v>
      </c>
      <c r="K153" s="29">
        <f>J153+I153</f>
        <v>48687</v>
      </c>
      <c r="L153" s="3">
        <v>0</v>
      </c>
      <c r="M153" s="29">
        <f t="shared" si="115"/>
        <v>48687</v>
      </c>
      <c r="N153" s="9">
        <f>N154+N155+N156</f>
        <v>55000</v>
      </c>
      <c r="O153" s="110">
        <f>SUM(O154:O156)</f>
        <v>0</v>
      </c>
      <c r="P153" s="110">
        <f>SUM(P154:P156)</f>
        <v>0</v>
      </c>
      <c r="Q153" s="110">
        <f>SUM(Q154:Q156)</f>
        <v>2114</v>
      </c>
      <c r="R153" s="110">
        <f>SUM(R154:R156)</f>
        <v>124445</v>
      </c>
      <c r="S153" s="272">
        <f>SUM(S154:S156)</f>
        <v>90681</v>
      </c>
      <c r="T153" s="272">
        <f t="shared" ref="T153:U153" si="126">SUM(T154:T156)</f>
        <v>11</v>
      </c>
      <c r="U153" s="272">
        <f t="shared" si="126"/>
        <v>90692</v>
      </c>
    </row>
    <row r="154" spans="1:21" x14ac:dyDescent="0.25">
      <c r="A154" s="103">
        <f t="shared" si="105"/>
        <v>151</v>
      </c>
      <c r="B154" s="3"/>
      <c r="C154" s="3"/>
      <c r="D154" s="22" t="s">
        <v>13</v>
      </c>
      <c r="E154" s="19">
        <f>SUM(E128,E102,E76,E50,E23)</f>
        <v>0</v>
      </c>
      <c r="F154" s="9">
        <v>450</v>
      </c>
      <c r="G154" s="29">
        <f>G128+G102+G76+G50+G23</f>
        <v>0</v>
      </c>
      <c r="H154" s="38">
        <f>SUM(H128,H102,H76,H50,H23)</f>
        <v>3000</v>
      </c>
      <c r="I154" s="9">
        <f t="shared" si="101"/>
        <v>3000</v>
      </c>
      <c r="J154" s="9">
        <f>J23</f>
        <v>11687</v>
      </c>
      <c r="K154" s="29">
        <f>J154+I154</f>
        <v>14687</v>
      </c>
      <c r="L154" s="3">
        <v>0</v>
      </c>
      <c r="M154" s="29">
        <f t="shared" si="115"/>
        <v>14687</v>
      </c>
      <c r="N154" s="9">
        <f>N23</f>
        <v>5000</v>
      </c>
      <c r="O154" s="114">
        <f t="shared" ref="O154:R156" si="127">SUM(O23,O52,O78,O104,O130)</f>
        <v>0</v>
      </c>
      <c r="P154" s="114">
        <f t="shared" si="127"/>
        <v>0</v>
      </c>
      <c r="Q154" s="114">
        <f t="shared" si="127"/>
        <v>2114</v>
      </c>
      <c r="R154" s="114">
        <f t="shared" si="127"/>
        <v>114445</v>
      </c>
      <c r="S154" s="276">
        <f t="shared" ref="S154:T154" si="128">SUM(S23,S52,S78,S104,S130)</f>
        <v>85181</v>
      </c>
      <c r="T154" s="276">
        <f t="shared" si="128"/>
        <v>11</v>
      </c>
      <c r="U154" s="276">
        <f t="shared" si="123"/>
        <v>85192</v>
      </c>
    </row>
    <row r="155" spans="1:21" ht="30" x14ac:dyDescent="0.25">
      <c r="A155" s="103">
        <f t="shared" si="105"/>
        <v>152</v>
      </c>
      <c r="B155" s="3"/>
      <c r="C155" s="3"/>
      <c r="D155" s="18" t="s">
        <v>346</v>
      </c>
      <c r="E155" s="19">
        <f>SUM(E129,E103,E77,E51,E24)</f>
        <v>0</v>
      </c>
      <c r="F155" s="9">
        <v>0</v>
      </c>
      <c r="G155" s="29">
        <f>G129+G103+G77+G51+G24</f>
        <v>0</v>
      </c>
      <c r="H155" s="38">
        <f>SUM(H129,H103,H77,H51,H24)</f>
        <v>0</v>
      </c>
      <c r="I155" s="9">
        <f t="shared" si="101"/>
        <v>0</v>
      </c>
      <c r="J155" s="9">
        <v>0</v>
      </c>
      <c r="K155" s="29">
        <v>0</v>
      </c>
      <c r="L155" s="3">
        <v>0</v>
      </c>
      <c r="M155" s="26">
        <v>0</v>
      </c>
      <c r="N155" s="9">
        <v>0</v>
      </c>
      <c r="O155" s="114">
        <f t="shared" si="127"/>
        <v>0</v>
      </c>
      <c r="P155" s="114">
        <f t="shared" si="127"/>
        <v>0</v>
      </c>
      <c r="Q155" s="114">
        <f t="shared" si="127"/>
        <v>0</v>
      </c>
      <c r="R155" s="114">
        <f t="shared" si="127"/>
        <v>10000</v>
      </c>
      <c r="S155" s="276">
        <f t="shared" ref="S155:T155" si="129">SUM(S24,S53,S79,S105,S131)</f>
        <v>5500</v>
      </c>
      <c r="T155" s="276">
        <f t="shared" si="129"/>
        <v>0</v>
      </c>
      <c r="U155" s="276">
        <f t="shared" si="123"/>
        <v>5500</v>
      </c>
    </row>
    <row r="156" spans="1:21" x14ac:dyDescent="0.25">
      <c r="A156" s="103">
        <f t="shared" si="105"/>
        <v>153</v>
      </c>
      <c r="B156" s="3"/>
      <c r="C156" s="3"/>
      <c r="D156" s="22" t="s">
        <v>14</v>
      </c>
      <c r="E156" s="19">
        <f>SUM(E130,E104,E78,E52,E25)</f>
        <v>0</v>
      </c>
      <c r="F156" s="9">
        <v>-450</v>
      </c>
      <c r="G156" s="29"/>
      <c r="H156" s="38">
        <f>SUM(H130,H104,H78,H52,H25)</f>
        <v>5000</v>
      </c>
      <c r="I156" s="9">
        <f t="shared" si="101"/>
        <v>5000</v>
      </c>
      <c r="J156" s="9">
        <v>0</v>
      </c>
      <c r="K156" s="29">
        <v>5000</v>
      </c>
      <c r="L156" s="3">
        <v>0</v>
      </c>
      <c r="M156" s="29">
        <f>K156+L156</f>
        <v>5000</v>
      </c>
      <c r="N156" s="9">
        <f>N25</f>
        <v>50000</v>
      </c>
      <c r="O156" s="114">
        <f t="shared" si="127"/>
        <v>0</v>
      </c>
      <c r="P156" s="114">
        <f t="shared" si="127"/>
        <v>0</v>
      </c>
      <c r="Q156" s="114">
        <f t="shared" si="127"/>
        <v>0</v>
      </c>
      <c r="R156" s="114">
        <f t="shared" si="127"/>
        <v>0</v>
      </c>
      <c r="S156" s="276">
        <f t="shared" ref="S156:T156" si="130">SUM(S25,S54,S80,S106,S132)</f>
        <v>0</v>
      </c>
      <c r="T156" s="276">
        <f t="shared" si="130"/>
        <v>0</v>
      </c>
      <c r="U156" s="276">
        <f t="shared" si="123"/>
        <v>0</v>
      </c>
    </row>
    <row r="157" spans="1:21" x14ac:dyDescent="0.25">
      <c r="A157" s="103">
        <f t="shared" si="105"/>
        <v>154</v>
      </c>
      <c r="B157" s="16" t="s">
        <v>15</v>
      </c>
      <c r="C157" s="16"/>
      <c r="D157" s="16"/>
      <c r="E157" s="11">
        <f>SUM(E158:E161)</f>
        <v>1123643</v>
      </c>
      <c r="F157" s="11">
        <f t="shared" ref="F157:K157" si="131">SUM(F158:F161)</f>
        <v>1598890</v>
      </c>
      <c r="G157" s="31">
        <f t="shared" si="131"/>
        <v>1297839</v>
      </c>
      <c r="H157" s="31">
        <f t="shared" si="131"/>
        <v>20668</v>
      </c>
      <c r="I157" s="31">
        <f t="shared" si="131"/>
        <v>1318507</v>
      </c>
      <c r="J157" s="31">
        <f t="shared" si="131"/>
        <v>26367</v>
      </c>
      <c r="K157" s="31">
        <f t="shared" si="131"/>
        <v>1344874</v>
      </c>
      <c r="L157" s="11">
        <f>L158+L159+L160+L161</f>
        <v>46487</v>
      </c>
      <c r="M157" s="31">
        <f>K157+L157</f>
        <v>1391361</v>
      </c>
      <c r="N157" s="11">
        <f>N158+N159+N160+N161</f>
        <v>1326871</v>
      </c>
      <c r="O157" s="111">
        <f>SUM(O158:O161)</f>
        <v>1382172</v>
      </c>
      <c r="P157" s="111">
        <f>SUM(P158:P161)</f>
        <v>1583894</v>
      </c>
      <c r="Q157" s="111">
        <f>SUM(Q158:Q161)</f>
        <v>1897558</v>
      </c>
      <c r="R157" s="111">
        <f>SUM(R158:R161)</f>
        <v>2218814</v>
      </c>
      <c r="S157" s="112">
        <f>SUM(S158:S161)</f>
        <v>2516530</v>
      </c>
      <c r="T157" s="112">
        <f t="shared" ref="T157:U157" si="132">SUM(T158:T161)</f>
        <v>-9150</v>
      </c>
      <c r="U157" s="112">
        <f t="shared" si="132"/>
        <v>2507380</v>
      </c>
    </row>
    <row r="158" spans="1:21" x14ac:dyDescent="0.25">
      <c r="A158" s="103">
        <f t="shared" si="105"/>
        <v>155</v>
      </c>
      <c r="B158" s="3"/>
      <c r="C158" s="3" t="s">
        <v>16</v>
      </c>
      <c r="D158" s="3"/>
      <c r="E158" s="9">
        <f>SUM(E132,E106,E80,E54,E27)</f>
        <v>0</v>
      </c>
      <c r="F158" s="9">
        <v>0</v>
      </c>
      <c r="G158" s="29">
        <f>SUM(G132,G106,G80,G54,G27)</f>
        <v>0</v>
      </c>
      <c r="H158" s="37">
        <f>SUM(H132,H106,H80,H54,H27)</f>
        <v>0</v>
      </c>
      <c r="I158" s="9">
        <f t="shared" si="101"/>
        <v>0</v>
      </c>
      <c r="J158" s="9">
        <v>0</v>
      </c>
      <c r="K158" s="29">
        <v>0</v>
      </c>
      <c r="L158" s="3">
        <v>0</v>
      </c>
      <c r="M158" s="26">
        <v>0</v>
      </c>
      <c r="N158" s="9">
        <v>0</v>
      </c>
      <c r="O158" s="114">
        <f>SUM(O27,O56,O82,O108,O134)</f>
        <v>0</v>
      </c>
      <c r="P158" s="114">
        <f>SUM(P27,P56,P82,P108,P134)</f>
        <v>0</v>
      </c>
      <c r="Q158" s="114">
        <f>SUM(Q27,Q56,Q82,Q108,Q134)</f>
        <v>0</v>
      </c>
      <c r="R158" s="114">
        <f>SUM(R27,R56,R82,R108,R134)</f>
        <v>0</v>
      </c>
      <c r="S158" s="276">
        <f>SUM(S27,S56,S82,S108,S134)</f>
        <v>0</v>
      </c>
      <c r="T158" s="276">
        <f t="shared" ref="T158" si="133">SUM(T27,T56,T82,T108,T134)</f>
        <v>0</v>
      </c>
      <c r="U158" s="276">
        <f t="shared" si="123"/>
        <v>0</v>
      </c>
    </row>
    <row r="159" spans="1:21" x14ac:dyDescent="0.25">
      <c r="A159" s="103">
        <f t="shared" si="105"/>
        <v>156</v>
      </c>
      <c r="B159" s="3"/>
      <c r="C159" s="3" t="s">
        <v>54</v>
      </c>
      <c r="D159" s="3"/>
      <c r="E159" s="9">
        <v>0</v>
      </c>
      <c r="F159" s="9">
        <v>395613</v>
      </c>
      <c r="G159" s="29">
        <v>0</v>
      </c>
      <c r="H159" s="37">
        <f>H28</f>
        <v>0</v>
      </c>
      <c r="I159" s="9">
        <f t="shared" si="101"/>
        <v>0</v>
      </c>
      <c r="J159" s="9">
        <v>0</v>
      </c>
      <c r="K159" s="29">
        <v>0</v>
      </c>
      <c r="L159" s="3">
        <v>0</v>
      </c>
      <c r="M159" s="26">
        <v>0</v>
      </c>
      <c r="N159" s="9">
        <v>0</v>
      </c>
      <c r="O159" s="114">
        <f>SUM(O28)</f>
        <v>0</v>
      </c>
      <c r="P159" s="114">
        <f>SUM(P28)</f>
        <v>0</v>
      </c>
      <c r="Q159" s="114">
        <f>SUM(Q28)</f>
        <v>0</v>
      </c>
      <c r="R159" s="114">
        <f>SUM(R28)</f>
        <v>0</v>
      </c>
      <c r="S159" s="276">
        <f>SUM(S28)</f>
        <v>0</v>
      </c>
      <c r="T159" s="276">
        <f t="shared" ref="T159" si="134">SUM(T28)</f>
        <v>0</v>
      </c>
      <c r="U159" s="276">
        <f t="shared" si="123"/>
        <v>0</v>
      </c>
    </row>
    <row r="160" spans="1:21" x14ac:dyDescent="0.25">
      <c r="A160" s="103">
        <f t="shared" si="105"/>
        <v>157</v>
      </c>
      <c r="B160" s="3"/>
      <c r="C160" s="3" t="s">
        <v>52</v>
      </c>
      <c r="D160" s="3"/>
      <c r="E160" s="9">
        <v>23371</v>
      </c>
      <c r="F160" s="9">
        <v>23371</v>
      </c>
      <c r="G160" s="29">
        <f>G133+G107+G81+G55+G29</f>
        <v>25752</v>
      </c>
      <c r="H160" s="37">
        <f>H29</f>
        <v>0</v>
      </c>
      <c r="I160" s="9">
        <f t="shared" si="101"/>
        <v>25752</v>
      </c>
      <c r="J160" s="9">
        <v>0</v>
      </c>
      <c r="K160" s="29">
        <f>J160+I160</f>
        <v>25752</v>
      </c>
      <c r="L160" s="3">
        <v>0</v>
      </c>
      <c r="M160" s="29">
        <f>K160+L160</f>
        <v>25752</v>
      </c>
      <c r="N160" s="9">
        <f>N29</f>
        <v>35640</v>
      </c>
      <c r="O160" s="114">
        <f t="shared" ref="O160:R161" si="135">SUM(O29,O55,O81,O107,O133)</f>
        <v>56586</v>
      </c>
      <c r="P160" s="114">
        <f t="shared" si="135"/>
        <v>58624</v>
      </c>
      <c r="Q160" s="114">
        <f t="shared" si="135"/>
        <v>63437</v>
      </c>
      <c r="R160" s="114">
        <f t="shared" si="135"/>
        <v>73080</v>
      </c>
      <c r="S160" s="276">
        <f t="shared" ref="S160:T160" si="136">SUM(S29,S55,S81,S107,S133)</f>
        <v>81776</v>
      </c>
      <c r="T160" s="276">
        <f t="shared" si="136"/>
        <v>0</v>
      </c>
      <c r="U160" s="276">
        <f t="shared" si="123"/>
        <v>81776</v>
      </c>
    </row>
    <row r="161" spans="1:21" x14ac:dyDescent="0.25">
      <c r="A161" s="103">
        <f t="shared" si="105"/>
        <v>158</v>
      </c>
      <c r="B161" s="3"/>
      <c r="C161" s="3" t="s">
        <v>53</v>
      </c>
      <c r="D161" s="3"/>
      <c r="E161" s="9">
        <f>SUM(E134,E108,E82,E56,E30)</f>
        <v>1100272</v>
      </c>
      <c r="F161" s="9">
        <f>SUM(F134,F108,F82,F56,F30)</f>
        <v>1179906</v>
      </c>
      <c r="G161" s="29">
        <f>G134+G108+G82+G56+G30</f>
        <v>1272087</v>
      </c>
      <c r="H161" s="37">
        <f>SUM(H134,H108,H82,H56,H30)</f>
        <v>20668</v>
      </c>
      <c r="I161" s="9">
        <f t="shared" si="101"/>
        <v>1292755</v>
      </c>
      <c r="J161" s="9">
        <v>26367</v>
      </c>
      <c r="K161" s="29">
        <f>J161+I161</f>
        <v>1319122</v>
      </c>
      <c r="L161" s="9">
        <f>L30</f>
        <v>46487</v>
      </c>
      <c r="M161" s="29">
        <f>K161+L161</f>
        <v>1365609</v>
      </c>
      <c r="N161" s="9">
        <v>1291231</v>
      </c>
      <c r="O161" s="114">
        <f t="shared" si="135"/>
        <v>1325586</v>
      </c>
      <c r="P161" s="114">
        <f t="shared" si="135"/>
        <v>1525270</v>
      </c>
      <c r="Q161" s="114">
        <f t="shared" si="135"/>
        <v>1834121</v>
      </c>
      <c r="R161" s="114">
        <f t="shared" si="135"/>
        <v>2145734</v>
      </c>
      <c r="S161" s="276">
        <f t="shared" ref="S161:T161" si="137">SUM(S30,S56,S82,S108,S134)</f>
        <v>2434754</v>
      </c>
      <c r="T161" s="276">
        <f t="shared" si="137"/>
        <v>-9150</v>
      </c>
      <c r="U161" s="276">
        <f t="shared" si="123"/>
        <v>2425604</v>
      </c>
    </row>
    <row r="162" spans="1:21" x14ac:dyDescent="0.25">
      <c r="A162" s="103">
        <f t="shared" si="105"/>
        <v>159</v>
      </c>
      <c r="B162" s="3"/>
      <c r="C162" s="3"/>
      <c r="D162" s="3" t="s">
        <v>51</v>
      </c>
      <c r="E162" s="9">
        <f>E161</f>
        <v>1100272</v>
      </c>
      <c r="F162" s="9">
        <f>F161</f>
        <v>1179906</v>
      </c>
      <c r="G162" s="29">
        <f>G161</f>
        <v>1272087</v>
      </c>
      <c r="H162" s="39"/>
      <c r="I162" s="9">
        <v>1292755</v>
      </c>
      <c r="J162" s="9">
        <v>26367</v>
      </c>
      <c r="K162" s="29">
        <f>J162+I162</f>
        <v>1319122</v>
      </c>
      <c r="L162" s="9">
        <f>L161</f>
        <v>46487</v>
      </c>
      <c r="M162" s="29">
        <f>K162+L162</f>
        <v>1365609</v>
      </c>
      <c r="N162" s="9">
        <v>1291231</v>
      </c>
      <c r="O162" s="98">
        <f>O161</f>
        <v>1325586</v>
      </c>
      <c r="P162" s="98">
        <f>P161</f>
        <v>1525270</v>
      </c>
      <c r="Q162" s="98">
        <f>Q161</f>
        <v>1834121</v>
      </c>
      <c r="R162" s="98">
        <f>R161</f>
        <v>2145734</v>
      </c>
      <c r="S162" s="275">
        <f>S161</f>
        <v>2434754</v>
      </c>
      <c r="T162" s="275">
        <f t="shared" ref="T162" si="138">T161</f>
        <v>-9150</v>
      </c>
      <c r="U162" s="275">
        <f t="shared" si="123"/>
        <v>2425604</v>
      </c>
    </row>
    <row r="163" spans="1:21" ht="15.75" customHeight="1" x14ac:dyDescent="0.25">
      <c r="A163" s="103">
        <f t="shared" si="105"/>
        <v>160</v>
      </c>
      <c r="B163" s="16" t="s">
        <v>19</v>
      </c>
      <c r="C163" s="16"/>
      <c r="D163" s="16"/>
      <c r="E163" s="11">
        <f>SUM(E139,E150,E157)-E162</f>
        <v>7676322</v>
      </c>
      <c r="F163" s="11" t="e">
        <f>SUM(F139,F150,F157)-F162</f>
        <v>#REF!</v>
      </c>
      <c r="G163" s="31">
        <f>SUM(G139,G150,G157)-G162</f>
        <v>7275559</v>
      </c>
      <c r="H163" s="31">
        <f>SUM(H139,H150,H157)-H162</f>
        <v>811135</v>
      </c>
      <c r="I163" s="31">
        <v>8086694</v>
      </c>
      <c r="J163" s="31">
        <f>J139+J150+J157-J162</f>
        <v>210060</v>
      </c>
      <c r="K163" s="31">
        <f>K139+K150+K157-K162+20668</f>
        <v>8296754</v>
      </c>
      <c r="L163" s="31">
        <f>L139+L150+L157-L162-17582-3086</f>
        <v>220434</v>
      </c>
      <c r="M163" s="31">
        <f>M139+M150+M157-M162</f>
        <v>8517188</v>
      </c>
      <c r="N163" s="11">
        <f>SUM(N139,N150,N157)-N162</f>
        <v>5497662</v>
      </c>
      <c r="O163" s="111">
        <f t="shared" ref="O163:T163" si="139">SUM(O157,O150,O139)-O162</f>
        <v>5318868</v>
      </c>
      <c r="P163" s="111">
        <f t="shared" si="139"/>
        <v>16526368</v>
      </c>
      <c r="Q163" s="111">
        <f t="shared" si="139"/>
        <v>12106839</v>
      </c>
      <c r="R163" s="111">
        <f t="shared" si="139"/>
        <v>9741730</v>
      </c>
      <c r="S163" s="112">
        <f t="shared" si="139"/>
        <v>7472143</v>
      </c>
      <c r="T163" s="112">
        <f t="shared" si="139"/>
        <v>556414</v>
      </c>
      <c r="U163" s="112">
        <f t="shared" ref="U163" si="140">SUM(U157,U150,U139)-U162</f>
        <v>8028557</v>
      </c>
    </row>
    <row r="164" spans="1:21" ht="2.25" customHeight="1" x14ac:dyDescent="0.25">
      <c r="A164" s="103">
        <v>165</v>
      </c>
      <c r="B164" s="302"/>
      <c r="C164" s="302"/>
      <c r="D164" s="302"/>
      <c r="E164" s="302"/>
      <c r="F164" s="302"/>
      <c r="G164" s="302"/>
      <c r="H164" s="302"/>
      <c r="I164" s="302"/>
      <c r="J164" s="302"/>
      <c r="K164" s="302"/>
      <c r="L164" s="302"/>
    </row>
    <row r="166" spans="1:21" x14ac:dyDescent="0.25">
      <c r="K166" s="41"/>
    </row>
  </sheetData>
  <mergeCells count="3">
    <mergeCell ref="B4:D4"/>
    <mergeCell ref="B164:L164"/>
    <mergeCell ref="A1:O1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2" fitToHeight="0" orientation="portrait" r:id="rId1"/>
  <headerFooter>
    <oddFooter>&amp;P. oldal</oddFooter>
  </headerFooter>
  <rowBreaks count="2" manualBreakCount="2">
    <brk id="57" max="20" man="1"/>
    <brk id="109" max="16383" man="1"/>
  </rowBreaks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Y64"/>
  <sheetViews>
    <sheetView view="pageBreakPreview" zoomScaleNormal="120" zoomScaleSheetLayoutView="100" workbookViewId="0">
      <selection sqref="A1:Q1"/>
    </sheetView>
  </sheetViews>
  <sheetFormatPr defaultColWidth="9.140625" defaultRowHeight="15" x14ac:dyDescent="0.25"/>
  <cols>
    <col min="3" max="3" width="11.140625" hidden="1" customWidth="1"/>
    <col min="4" max="4" width="0" hidden="1" customWidth="1"/>
    <col min="5" max="5" width="37.85546875" customWidth="1"/>
    <col min="6" max="6" width="52" customWidth="1"/>
    <col min="7" max="7" width="15.42578125" hidden="1" customWidth="1"/>
    <col min="8" max="8" width="14.140625" hidden="1" customWidth="1"/>
    <col min="9" max="9" width="13.42578125" hidden="1" customWidth="1"/>
    <col min="10" max="10" width="14.42578125" hidden="1" customWidth="1"/>
    <col min="11" max="11" width="13.140625" hidden="1" customWidth="1"/>
    <col min="12" max="12" width="14" hidden="1" customWidth="1"/>
    <col min="13" max="13" width="0.140625" customWidth="1"/>
    <col min="14" max="14" width="14.42578125" hidden="1" customWidth="1"/>
    <col min="15" max="15" width="16" hidden="1" customWidth="1"/>
    <col min="16" max="18" width="16.140625" hidden="1" customWidth="1"/>
    <col min="19" max="22" width="16.140625" customWidth="1"/>
    <col min="24" max="24" width="16.140625" bestFit="1" customWidth="1"/>
    <col min="25" max="25" width="13.5703125" bestFit="1" customWidth="1"/>
  </cols>
  <sheetData>
    <row r="1" spans="1:23" ht="20.25" customHeight="1" x14ac:dyDescent="0.25">
      <c r="A1" s="308" t="s">
        <v>414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</row>
    <row r="2" spans="1:23" ht="20.25" customHeight="1" x14ac:dyDescent="0.25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</row>
    <row r="3" spans="1:23" ht="18.75" x14ac:dyDescent="0.3">
      <c r="A3" s="325" t="s">
        <v>373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</row>
    <row r="4" spans="1:23" ht="18.75" x14ac:dyDescent="0.3">
      <c r="B4" s="44"/>
      <c r="S4" s="162"/>
      <c r="T4" s="162"/>
      <c r="U4" s="162"/>
      <c r="V4" s="162" t="s">
        <v>344</v>
      </c>
    </row>
    <row r="5" spans="1:23" x14ac:dyDescent="0.25">
      <c r="A5" s="3"/>
      <c r="B5" s="104" t="s">
        <v>272</v>
      </c>
      <c r="C5" s="104"/>
      <c r="D5" s="104"/>
      <c r="E5" s="104" t="s">
        <v>273</v>
      </c>
      <c r="F5" s="104" t="s">
        <v>274</v>
      </c>
      <c r="G5" s="104"/>
      <c r="H5" s="104"/>
      <c r="I5" s="104"/>
      <c r="J5" s="104"/>
      <c r="K5" s="104"/>
      <c r="L5" s="104"/>
      <c r="M5" s="104"/>
      <c r="N5" s="104"/>
      <c r="O5" s="104" t="s">
        <v>275</v>
      </c>
      <c r="P5" s="105" t="s">
        <v>275</v>
      </c>
      <c r="Q5" s="105" t="s">
        <v>275</v>
      </c>
      <c r="R5" s="105" t="s">
        <v>275</v>
      </c>
      <c r="S5" s="105" t="s">
        <v>275</v>
      </c>
      <c r="T5" s="105" t="s">
        <v>276</v>
      </c>
      <c r="U5" s="105" t="s">
        <v>277</v>
      </c>
      <c r="V5" s="105" t="s">
        <v>282</v>
      </c>
      <c r="W5" s="289"/>
    </row>
    <row r="6" spans="1:23" ht="90" x14ac:dyDescent="0.25">
      <c r="A6" s="108">
        <v>1</v>
      </c>
      <c r="B6" s="115" t="s">
        <v>176</v>
      </c>
      <c r="C6" s="116"/>
      <c r="D6" s="116"/>
      <c r="E6" s="311" t="s">
        <v>55</v>
      </c>
      <c r="F6" s="312"/>
      <c r="G6" s="117" t="s">
        <v>177</v>
      </c>
      <c r="H6" s="117" t="s">
        <v>109</v>
      </c>
      <c r="I6" s="118" t="s">
        <v>111</v>
      </c>
      <c r="J6" s="119" t="s">
        <v>115</v>
      </c>
      <c r="K6" s="117" t="s">
        <v>111</v>
      </c>
      <c r="L6" s="117" t="s">
        <v>261</v>
      </c>
      <c r="M6" s="118" t="s">
        <v>111</v>
      </c>
      <c r="N6" s="120" t="s">
        <v>262</v>
      </c>
      <c r="O6" s="120" t="s">
        <v>309</v>
      </c>
      <c r="P6" s="134" t="s">
        <v>311</v>
      </c>
      <c r="Q6" s="120" t="s">
        <v>327</v>
      </c>
      <c r="R6" s="134" t="s">
        <v>343</v>
      </c>
      <c r="S6" s="120" t="s">
        <v>372</v>
      </c>
      <c r="T6" s="120" t="s">
        <v>385</v>
      </c>
      <c r="U6" s="120" t="s">
        <v>111</v>
      </c>
      <c r="V6" s="120" t="s">
        <v>384</v>
      </c>
    </row>
    <row r="7" spans="1:23" ht="27.75" customHeight="1" x14ac:dyDescent="0.25">
      <c r="A7" s="24">
        <v>2</v>
      </c>
      <c r="B7" s="135" t="s">
        <v>178</v>
      </c>
      <c r="C7" s="45">
        <v>9421111</v>
      </c>
      <c r="D7" s="46" t="s">
        <v>179</v>
      </c>
      <c r="E7" s="326" t="s">
        <v>180</v>
      </c>
      <c r="F7" s="326"/>
      <c r="G7" s="47">
        <f>SUM(G8:G10)</f>
        <v>116694947</v>
      </c>
      <c r="H7" s="48" t="e">
        <f>H8+H9+H10+#REF!</f>
        <v>#REF!</v>
      </c>
      <c r="I7" s="49" t="e">
        <f>I8+I9+I10+#REF!</f>
        <v>#REF!</v>
      </c>
      <c r="J7" s="11" t="e">
        <f>J8+J9+J10+#REF!</f>
        <v>#REF!</v>
      </c>
      <c r="K7" s="11" t="e">
        <f>K8+K9+K10+#REF!</f>
        <v>#REF!</v>
      </c>
      <c r="L7" s="11" t="e">
        <f>L8+L9+L10+#REF!</f>
        <v>#REF!</v>
      </c>
      <c r="M7" s="11" t="e">
        <f>M8+M9+M10+#REF!</f>
        <v>#REF!</v>
      </c>
      <c r="N7" s="11" t="e">
        <f>N8+N9+N10+#REF!</f>
        <v>#REF!</v>
      </c>
      <c r="O7" s="11" t="e">
        <f>O8+O9+O10+#REF!</f>
        <v>#REF!</v>
      </c>
      <c r="P7" s="99">
        <f>SUM(P8:P10)</f>
        <v>487953685</v>
      </c>
      <c r="Q7" s="99">
        <f>SUM(Q8:Q10)</f>
        <v>498865340</v>
      </c>
      <c r="R7" s="99">
        <f>SUM(R8:R10)</f>
        <v>496564571</v>
      </c>
      <c r="S7" s="99">
        <f>SUM(S8:S10)</f>
        <v>545430761</v>
      </c>
      <c r="T7" s="159">
        <f>SUM(T8:T10)</f>
        <v>643123661</v>
      </c>
      <c r="U7" s="159">
        <f t="shared" ref="U7" si="0">SUM(U8:U10)</f>
        <v>0</v>
      </c>
      <c r="V7" s="159">
        <f>SUM(V8:V10)</f>
        <v>643123661</v>
      </c>
    </row>
    <row r="8" spans="1:23" ht="15" customHeight="1" x14ac:dyDescent="0.25">
      <c r="A8" s="24">
        <v>3</v>
      </c>
      <c r="B8" s="135"/>
      <c r="C8" s="50"/>
      <c r="D8" s="51" t="s">
        <v>181</v>
      </c>
      <c r="E8" s="327" t="s">
        <v>182</v>
      </c>
      <c r="F8" s="327"/>
      <c r="G8" s="9">
        <v>116674947</v>
      </c>
      <c r="H8" s="10">
        <v>131986240</v>
      </c>
      <c r="I8" s="9">
        <v>0</v>
      </c>
      <c r="J8" s="9">
        <f>H8</f>
        <v>131986240</v>
      </c>
      <c r="K8" s="62">
        <v>0</v>
      </c>
      <c r="L8" s="9">
        <f>J8</f>
        <v>131986240</v>
      </c>
      <c r="M8" s="3">
        <v>0</v>
      </c>
      <c r="N8" s="9">
        <f>L8+M8</f>
        <v>131986240</v>
      </c>
      <c r="O8" s="9">
        <v>125982530</v>
      </c>
      <c r="P8" s="9">
        <v>251685750</v>
      </c>
      <c r="Q8" s="9">
        <v>253649970</v>
      </c>
      <c r="R8" s="9">
        <v>251933500</v>
      </c>
      <c r="S8" s="9">
        <v>300762890</v>
      </c>
      <c r="T8" s="14">
        <v>398727940</v>
      </c>
      <c r="U8" s="14">
        <v>0</v>
      </c>
      <c r="V8" s="14">
        <f>SUM(T8:U8)</f>
        <v>398727940</v>
      </c>
    </row>
    <row r="9" spans="1:23" ht="15.75" x14ac:dyDescent="0.25">
      <c r="A9" s="24">
        <v>4</v>
      </c>
      <c r="B9" s="136"/>
      <c r="C9" s="13">
        <v>9421112</v>
      </c>
      <c r="D9" s="10" t="s">
        <v>183</v>
      </c>
      <c r="E9" s="324" t="s">
        <v>287</v>
      </c>
      <c r="F9" s="322"/>
      <c r="G9" s="9">
        <v>20000</v>
      </c>
      <c r="H9" s="9">
        <v>20000</v>
      </c>
      <c r="I9" s="9">
        <v>0</v>
      </c>
      <c r="J9" s="9">
        <f>H9</f>
        <v>20000</v>
      </c>
      <c r="K9" s="9">
        <v>0</v>
      </c>
      <c r="L9" s="9">
        <f>J9</f>
        <v>20000</v>
      </c>
      <c r="M9" s="3">
        <v>0</v>
      </c>
      <c r="N9" s="9">
        <f>L9+M9</f>
        <v>20000</v>
      </c>
      <c r="O9" s="9">
        <v>0</v>
      </c>
      <c r="P9" s="9">
        <v>236249935</v>
      </c>
      <c r="Q9" s="9">
        <v>245205370</v>
      </c>
      <c r="R9" s="9">
        <v>244621071</v>
      </c>
      <c r="S9" s="9">
        <v>244657871</v>
      </c>
      <c r="T9" s="14">
        <v>244395721</v>
      </c>
      <c r="U9" s="14">
        <v>0</v>
      </c>
      <c r="V9" s="14">
        <f t="shared" ref="V9:V10" si="1">SUM(T9:U9)</f>
        <v>244395721</v>
      </c>
    </row>
    <row r="10" spans="1:23" ht="15" customHeight="1" x14ac:dyDescent="0.25">
      <c r="A10" s="24">
        <v>5</v>
      </c>
      <c r="B10" s="136"/>
      <c r="C10" s="13"/>
      <c r="D10" s="10"/>
      <c r="E10" s="328" t="s">
        <v>184</v>
      </c>
      <c r="F10" s="329"/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3">
        <v>0</v>
      </c>
      <c r="N10" s="3">
        <v>0</v>
      </c>
      <c r="O10" s="9">
        <v>18000</v>
      </c>
      <c r="P10" s="9">
        <v>18000</v>
      </c>
      <c r="Q10" s="9">
        <v>10000</v>
      </c>
      <c r="R10" s="9">
        <v>10000</v>
      </c>
      <c r="S10" s="9">
        <v>10000</v>
      </c>
      <c r="T10" s="14">
        <v>0</v>
      </c>
      <c r="U10" s="14">
        <v>0</v>
      </c>
      <c r="V10" s="14">
        <f t="shared" si="1"/>
        <v>0</v>
      </c>
    </row>
    <row r="11" spans="1:23" ht="14.45" customHeight="1" x14ac:dyDescent="0.25">
      <c r="A11" s="24">
        <v>7</v>
      </c>
      <c r="B11" s="136" t="s">
        <v>185</v>
      </c>
      <c r="C11" s="50">
        <v>9421121</v>
      </c>
      <c r="D11" s="8" t="s">
        <v>186</v>
      </c>
      <c r="E11" s="330" t="s">
        <v>187</v>
      </c>
      <c r="F11" s="331"/>
      <c r="G11" s="53">
        <f>G12+G16</f>
        <v>242222884</v>
      </c>
      <c r="H11" s="53">
        <f t="shared" ref="H11" si="2">H12+H16</f>
        <v>240949450</v>
      </c>
      <c r="I11" s="11">
        <v>0</v>
      </c>
      <c r="J11" s="11">
        <f>H11</f>
        <v>240949450</v>
      </c>
      <c r="K11" s="11">
        <v>0</v>
      </c>
      <c r="L11" s="11">
        <f>L12+L16</f>
        <v>240949450</v>
      </c>
      <c r="M11" s="11">
        <f>M12+M16</f>
        <v>0</v>
      </c>
      <c r="N11" s="11">
        <f>N12+N16</f>
        <v>240949450</v>
      </c>
      <c r="O11" s="11">
        <f>O12+O16+O19+O20+O21</f>
        <v>259327000</v>
      </c>
      <c r="P11" s="8">
        <f>P12+P16+P19+P20</f>
        <v>288900150</v>
      </c>
      <c r="Q11" s="8">
        <f>Q12+Q16+Q19+Q20+Q21</f>
        <v>334722816</v>
      </c>
      <c r="R11" s="8">
        <f>R12+R16+R19+R20+R21</f>
        <v>335227130</v>
      </c>
      <c r="S11" s="8">
        <f>S12+S16+S19+S20+S21</f>
        <v>509395400</v>
      </c>
      <c r="T11" s="53">
        <f>T12+T16+T19+T20+T21</f>
        <v>655706300</v>
      </c>
      <c r="U11" s="53">
        <f t="shared" ref="U11:V11" si="3">U12+U16+U19+U20+U21</f>
        <v>-28655500</v>
      </c>
      <c r="V11" s="53">
        <f t="shared" si="3"/>
        <v>627050800</v>
      </c>
    </row>
    <row r="12" spans="1:23" ht="15.75" x14ac:dyDescent="0.25">
      <c r="A12" s="24">
        <v>8</v>
      </c>
      <c r="B12" s="136"/>
      <c r="C12" s="3"/>
      <c r="D12" s="9" t="s">
        <v>188</v>
      </c>
      <c r="E12" s="310" t="s">
        <v>189</v>
      </c>
      <c r="F12" s="310"/>
      <c r="G12" s="11">
        <f>G13+G14+G15</f>
        <v>179853300</v>
      </c>
      <c r="H12" s="11">
        <f>SUM(H13:H15)</f>
        <v>169177050</v>
      </c>
      <c r="I12" s="9">
        <v>0</v>
      </c>
      <c r="J12" s="11">
        <f>H12</f>
        <v>169177050</v>
      </c>
      <c r="K12" s="11">
        <v>0</v>
      </c>
      <c r="L12" s="11">
        <f>J12</f>
        <v>169177050</v>
      </c>
      <c r="M12" s="11">
        <f t="shared" ref="M12:N12" si="4">K12</f>
        <v>0</v>
      </c>
      <c r="N12" s="11">
        <f t="shared" si="4"/>
        <v>169177050</v>
      </c>
      <c r="O12" s="9">
        <v>177482900</v>
      </c>
      <c r="P12" s="10">
        <v>197863050</v>
      </c>
      <c r="Q12" s="10">
        <v>214200030</v>
      </c>
      <c r="R12" s="10">
        <v>213147450</v>
      </c>
      <c r="S12" s="10">
        <v>349112400</v>
      </c>
      <c r="T12" s="57">
        <v>471835500</v>
      </c>
      <c r="U12" s="57">
        <v>-25367500</v>
      </c>
      <c r="V12" s="14">
        <f>SUM(T12:U12)</f>
        <v>446468000</v>
      </c>
    </row>
    <row r="13" spans="1:23" ht="15.75" x14ac:dyDescent="0.25">
      <c r="A13" s="24">
        <v>9</v>
      </c>
      <c r="B13" s="136"/>
      <c r="C13" s="3"/>
      <c r="D13" s="9"/>
      <c r="E13" s="54"/>
      <c r="F13" s="54" t="s">
        <v>190</v>
      </c>
      <c r="G13" s="9">
        <v>119902200</v>
      </c>
      <c r="H13" s="10">
        <v>112784700</v>
      </c>
      <c r="I13" s="9">
        <v>0</v>
      </c>
      <c r="J13" s="9">
        <f>H13</f>
        <v>112784700</v>
      </c>
      <c r="K13" s="9">
        <v>0</v>
      </c>
      <c r="L13" s="9">
        <f>J13</f>
        <v>112784700</v>
      </c>
      <c r="M13" s="3">
        <v>0</v>
      </c>
      <c r="N13" s="9">
        <f>L13+M13</f>
        <v>112784700</v>
      </c>
      <c r="O13" s="9"/>
      <c r="P13" s="9"/>
      <c r="Q13" s="9"/>
      <c r="R13" s="9"/>
      <c r="S13" s="9"/>
      <c r="T13" s="14"/>
      <c r="U13" s="14"/>
      <c r="V13" s="14"/>
    </row>
    <row r="14" spans="1:23" ht="15.75" x14ac:dyDescent="0.25">
      <c r="A14" s="24">
        <v>10</v>
      </c>
      <c r="B14" s="136"/>
      <c r="C14" s="3"/>
      <c r="D14" s="9"/>
      <c r="E14" s="54"/>
      <c r="F14" s="54" t="s">
        <v>191</v>
      </c>
      <c r="G14" s="9">
        <v>59951100</v>
      </c>
      <c r="H14" s="10">
        <v>56392350</v>
      </c>
      <c r="I14" s="9">
        <v>0</v>
      </c>
      <c r="J14" s="9">
        <f>H14</f>
        <v>56392350</v>
      </c>
      <c r="K14" s="9">
        <v>0</v>
      </c>
      <c r="L14" s="9">
        <f>J14</f>
        <v>56392350</v>
      </c>
      <c r="M14" s="3">
        <v>0</v>
      </c>
      <c r="N14" s="9">
        <f>L14+M14</f>
        <v>56392350</v>
      </c>
      <c r="O14" s="9"/>
      <c r="P14" s="9"/>
      <c r="Q14" s="9"/>
      <c r="R14" s="9"/>
      <c r="S14" s="9"/>
      <c r="T14" s="14"/>
      <c r="U14" s="14"/>
      <c r="V14" s="14"/>
    </row>
    <row r="15" spans="1:23" ht="15.75" x14ac:dyDescent="0.25">
      <c r="A15" s="24">
        <v>11</v>
      </c>
      <c r="B15" s="136"/>
      <c r="C15" s="3"/>
      <c r="D15" s="9"/>
      <c r="E15" s="54"/>
      <c r="F15" s="54" t="s">
        <v>192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f>J15</f>
        <v>0</v>
      </c>
      <c r="M15" s="3">
        <v>0</v>
      </c>
      <c r="N15" s="3">
        <f>M15</f>
        <v>0</v>
      </c>
      <c r="O15" s="9"/>
      <c r="P15" s="9"/>
      <c r="Q15" s="9"/>
      <c r="R15" s="9"/>
      <c r="S15" s="9"/>
      <c r="T15" s="14"/>
      <c r="U15" s="14"/>
      <c r="V15" s="14"/>
    </row>
    <row r="16" spans="1:23" ht="15.75" x14ac:dyDescent="0.25">
      <c r="A16" s="24">
        <v>12</v>
      </c>
      <c r="B16" s="136"/>
      <c r="C16" s="3"/>
      <c r="D16" s="9" t="s">
        <v>193</v>
      </c>
      <c r="E16" s="310" t="s">
        <v>194</v>
      </c>
      <c r="F16" s="310"/>
      <c r="G16" s="11">
        <f>G17+G18+G20+G21</f>
        <v>62369584</v>
      </c>
      <c r="H16" s="11">
        <f>SUM(H17:H21)</f>
        <v>71772400</v>
      </c>
      <c r="I16" s="11">
        <f t="shared" ref="I16:J16" si="5">SUM(I17:I21)</f>
        <v>0</v>
      </c>
      <c r="J16" s="11">
        <f t="shared" si="5"/>
        <v>71772400</v>
      </c>
      <c r="K16" s="11">
        <f t="shared" ref="K16" si="6">SUM(K17:K21)</f>
        <v>0</v>
      </c>
      <c r="L16" s="11">
        <f t="shared" ref="L16:M16" si="7">SUM(L17:L21)</f>
        <v>71772400</v>
      </c>
      <c r="M16" s="11">
        <f t="shared" si="7"/>
        <v>0</v>
      </c>
      <c r="N16" s="11">
        <f>SUM(N17:N21)</f>
        <v>71772400</v>
      </c>
      <c r="O16" s="9">
        <v>64800000</v>
      </c>
      <c r="P16" s="9">
        <v>75894000</v>
      </c>
      <c r="Q16" s="9">
        <v>100828000</v>
      </c>
      <c r="R16" s="9">
        <v>100828000</v>
      </c>
      <c r="S16" s="9">
        <v>131700000</v>
      </c>
      <c r="T16" s="14">
        <v>147504000</v>
      </c>
      <c r="U16" s="14">
        <v>0</v>
      </c>
      <c r="V16" s="14">
        <f>SUM(T16:U16)</f>
        <v>147504000</v>
      </c>
    </row>
    <row r="17" spans="1:25" ht="15.75" x14ac:dyDescent="0.25">
      <c r="A17" s="24">
        <v>13</v>
      </c>
      <c r="B17" s="136"/>
      <c r="C17" s="3"/>
      <c r="D17" s="9"/>
      <c r="E17" s="54"/>
      <c r="F17" s="54" t="s">
        <v>190</v>
      </c>
      <c r="G17" s="9">
        <v>35280000</v>
      </c>
      <c r="H17" s="9">
        <v>39664333</v>
      </c>
      <c r="I17" s="9">
        <v>0</v>
      </c>
      <c r="J17" s="9">
        <f t="shared" ref="J17:J24" si="8">H17</f>
        <v>39664333</v>
      </c>
      <c r="K17" s="9">
        <v>0</v>
      </c>
      <c r="L17" s="9">
        <f>J17</f>
        <v>39664333</v>
      </c>
      <c r="M17" s="3">
        <v>0</v>
      </c>
      <c r="N17" s="9">
        <f t="shared" ref="N17:N24" si="9">L17+M17</f>
        <v>39664333</v>
      </c>
      <c r="O17" s="9"/>
      <c r="P17" s="9"/>
      <c r="Q17" s="9"/>
      <c r="R17" s="9"/>
      <c r="S17" s="9"/>
      <c r="T17" s="14"/>
      <c r="U17" s="14"/>
      <c r="V17" s="14"/>
    </row>
    <row r="18" spans="1:25" ht="15.75" x14ac:dyDescent="0.25">
      <c r="A18" s="24">
        <v>14</v>
      </c>
      <c r="B18" s="136"/>
      <c r="C18" s="3"/>
      <c r="D18" s="9"/>
      <c r="E18" s="54"/>
      <c r="F18" s="54" t="s">
        <v>191</v>
      </c>
      <c r="G18" s="9">
        <v>17640000</v>
      </c>
      <c r="H18" s="9">
        <v>19832167</v>
      </c>
      <c r="I18" s="9">
        <v>0</v>
      </c>
      <c r="J18" s="9">
        <f t="shared" si="8"/>
        <v>19832167</v>
      </c>
      <c r="K18" s="9">
        <v>0</v>
      </c>
      <c r="L18" s="9">
        <f>J18</f>
        <v>19832167</v>
      </c>
      <c r="M18" s="3">
        <v>0</v>
      </c>
      <c r="N18" s="9">
        <f t="shared" si="9"/>
        <v>19832167</v>
      </c>
      <c r="O18" s="9"/>
      <c r="P18" s="9"/>
      <c r="Q18" s="9"/>
      <c r="R18" s="9"/>
      <c r="S18" s="9"/>
      <c r="T18" s="14"/>
      <c r="U18" s="14"/>
      <c r="V18" s="14"/>
    </row>
    <row r="19" spans="1:25" ht="15.75" x14ac:dyDescent="0.25">
      <c r="A19" s="24">
        <v>15</v>
      </c>
      <c r="B19" s="136"/>
      <c r="C19" s="3"/>
      <c r="D19" s="9"/>
      <c r="E19" s="54"/>
      <c r="F19" s="54" t="s">
        <v>266</v>
      </c>
      <c r="G19" s="9"/>
      <c r="H19" s="9"/>
      <c r="I19" s="9"/>
      <c r="J19" s="9"/>
      <c r="K19" s="9"/>
      <c r="L19" s="9"/>
      <c r="M19" s="3"/>
      <c r="N19" s="9"/>
      <c r="O19" s="9">
        <v>4371500</v>
      </c>
      <c r="P19" s="9">
        <v>4861500</v>
      </c>
      <c r="Q19" s="9">
        <v>5262900</v>
      </c>
      <c r="R19" s="9">
        <v>5262900</v>
      </c>
      <c r="S19" s="9">
        <v>8372000</v>
      </c>
      <c r="T19" s="14">
        <v>10147000</v>
      </c>
      <c r="U19" s="14">
        <v>0</v>
      </c>
      <c r="V19" s="14">
        <f t="shared" ref="V19:V21" si="10">SUM(T19:U19)</f>
        <v>10147000</v>
      </c>
    </row>
    <row r="20" spans="1:25" ht="15.75" x14ac:dyDescent="0.25">
      <c r="A20" s="24">
        <v>16</v>
      </c>
      <c r="B20" s="136" t="s">
        <v>185</v>
      </c>
      <c r="C20" s="55">
        <v>9421121</v>
      </c>
      <c r="D20" s="53" t="s">
        <v>195</v>
      </c>
      <c r="E20" s="56"/>
      <c r="F20" s="128" t="s">
        <v>196</v>
      </c>
      <c r="G20" s="57">
        <v>7986584</v>
      </c>
      <c r="H20" s="57">
        <v>7934000</v>
      </c>
      <c r="I20" s="9">
        <v>0</v>
      </c>
      <c r="J20" s="9">
        <f t="shared" si="8"/>
        <v>7934000</v>
      </c>
      <c r="K20" s="9">
        <v>0</v>
      </c>
      <c r="L20" s="9">
        <f>J20</f>
        <v>7934000</v>
      </c>
      <c r="M20" s="3">
        <v>0</v>
      </c>
      <c r="N20" s="9">
        <f t="shared" si="9"/>
        <v>7934000</v>
      </c>
      <c r="O20" s="10">
        <v>8330700</v>
      </c>
      <c r="P20" s="9">
        <v>10281600</v>
      </c>
      <c r="Q20" s="9">
        <v>10943946</v>
      </c>
      <c r="R20" s="9">
        <v>10756870</v>
      </c>
      <c r="S20" s="9">
        <v>12189000</v>
      </c>
      <c r="T20" s="14">
        <v>13904000</v>
      </c>
      <c r="U20" s="14">
        <v>-695200</v>
      </c>
      <c r="V20" s="14">
        <f t="shared" si="10"/>
        <v>13208800</v>
      </c>
    </row>
    <row r="21" spans="1:25" ht="15.75" x14ac:dyDescent="0.25">
      <c r="A21" s="24">
        <v>17</v>
      </c>
      <c r="B21" s="136"/>
      <c r="C21" s="55"/>
      <c r="D21" s="55"/>
      <c r="E21" s="56"/>
      <c r="F21" s="128" t="s">
        <v>197</v>
      </c>
      <c r="G21" s="57">
        <v>1463000</v>
      </c>
      <c r="H21" s="57">
        <v>4341900</v>
      </c>
      <c r="I21" s="9">
        <v>0</v>
      </c>
      <c r="J21" s="9">
        <f t="shared" si="8"/>
        <v>4341900</v>
      </c>
      <c r="K21" s="9">
        <v>0</v>
      </c>
      <c r="L21" s="9">
        <f>J21</f>
        <v>4341900</v>
      </c>
      <c r="M21" s="3">
        <v>0</v>
      </c>
      <c r="N21" s="9">
        <f t="shared" si="9"/>
        <v>4341900</v>
      </c>
      <c r="O21" s="9">
        <v>4341900</v>
      </c>
      <c r="P21" s="9"/>
      <c r="Q21" s="9">
        <v>3487940</v>
      </c>
      <c r="R21" s="9">
        <v>5231910</v>
      </c>
      <c r="S21" s="9">
        <v>8022000</v>
      </c>
      <c r="T21" s="14">
        <v>12315800</v>
      </c>
      <c r="U21" s="14">
        <v>-2592800</v>
      </c>
      <c r="V21" s="14">
        <f t="shared" si="10"/>
        <v>9723000</v>
      </c>
    </row>
    <row r="22" spans="1:25" ht="15.75" x14ac:dyDescent="0.25">
      <c r="A22" s="24">
        <v>18</v>
      </c>
      <c r="B22" s="136" t="s">
        <v>185</v>
      </c>
      <c r="C22" s="55">
        <v>9421122</v>
      </c>
      <c r="D22" s="53" t="s">
        <v>198</v>
      </c>
      <c r="E22" s="314" t="s">
        <v>199</v>
      </c>
      <c r="F22" s="314"/>
      <c r="G22" s="53">
        <f>G23+G24</f>
        <v>36274800</v>
      </c>
      <c r="H22" s="53">
        <f>SUM(H23:H24)</f>
        <v>43148200</v>
      </c>
      <c r="I22" s="53">
        <f t="shared" ref="I22:J22" si="11">SUM(I23:I24)</f>
        <v>0</v>
      </c>
      <c r="J22" s="53">
        <f t="shared" si="11"/>
        <v>43148200</v>
      </c>
      <c r="K22" s="11">
        <f>SUM(K23:K25)</f>
        <v>0</v>
      </c>
      <c r="L22" s="11">
        <f>SUM(L23:L25)</f>
        <v>43148200</v>
      </c>
      <c r="M22" s="3">
        <v>0</v>
      </c>
      <c r="N22" s="11">
        <f t="shared" si="9"/>
        <v>43148200</v>
      </c>
      <c r="O22" s="11">
        <v>44735820</v>
      </c>
      <c r="P22" s="11">
        <v>44774780</v>
      </c>
      <c r="Q22" s="11">
        <v>59839000</v>
      </c>
      <c r="R22" s="11">
        <v>59280000</v>
      </c>
      <c r="S22" s="11">
        <v>78602544</v>
      </c>
      <c r="T22" s="49">
        <v>88548524</v>
      </c>
      <c r="U22" s="49">
        <v>-5067796</v>
      </c>
      <c r="V22" s="49">
        <f>SUM(T22:U22)</f>
        <v>83480728</v>
      </c>
    </row>
    <row r="23" spans="1:25" ht="15.75" x14ac:dyDescent="0.25">
      <c r="A23" s="24">
        <v>19</v>
      </c>
      <c r="B23" s="136"/>
      <c r="C23" s="55"/>
      <c r="D23" s="53"/>
      <c r="E23" s="127"/>
      <c r="F23" s="127" t="s">
        <v>190</v>
      </c>
      <c r="G23" s="57">
        <v>24183200</v>
      </c>
      <c r="H23" s="57">
        <v>28765467</v>
      </c>
      <c r="I23" s="9">
        <v>0</v>
      </c>
      <c r="J23" s="9">
        <f t="shared" si="8"/>
        <v>28765467</v>
      </c>
      <c r="K23" s="9">
        <v>0</v>
      </c>
      <c r="L23" s="9">
        <f>J23</f>
        <v>28765467</v>
      </c>
      <c r="M23" s="3">
        <v>0</v>
      </c>
      <c r="N23" s="9">
        <f t="shared" si="9"/>
        <v>28765467</v>
      </c>
      <c r="O23" s="9"/>
      <c r="P23" s="9"/>
      <c r="Q23" s="9"/>
      <c r="R23" s="9"/>
      <c r="S23" s="9"/>
      <c r="T23" s="14"/>
      <c r="U23" s="14"/>
      <c r="V23" s="14"/>
    </row>
    <row r="24" spans="1:25" ht="15.75" x14ac:dyDescent="0.25">
      <c r="A24" s="24">
        <v>20</v>
      </c>
      <c r="B24" s="136"/>
      <c r="C24" s="55"/>
      <c r="D24" s="53"/>
      <c r="E24" s="127"/>
      <c r="F24" s="127" t="s">
        <v>191</v>
      </c>
      <c r="G24" s="57">
        <v>12091600</v>
      </c>
      <c r="H24" s="57">
        <v>14382733</v>
      </c>
      <c r="I24" s="9">
        <v>0</v>
      </c>
      <c r="J24" s="9">
        <f t="shared" si="8"/>
        <v>14382733</v>
      </c>
      <c r="K24" s="9">
        <v>0</v>
      </c>
      <c r="L24" s="9">
        <f>J24</f>
        <v>14382733</v>
      </c>
      <c r="M24" s="3">
        <v>0</v>
      </c>
      <c r="N24" s="9">
        <f t="shared" si="9"/>
        <v>14382733</v>
      </c>
      <c r="O24" s="9"/>
      <c r="P24" s="9"/>
      <c r="Q24" s="9"/>
      <c r="R24" s="9"/>
      <c r="S24" s="9"/>
      <c r="T24" s="14"/>
      <c r="U24" s="14"/>
      <c r="V24" s="14"/>
    </row>
    <row r="25" spans="1:25" ht="16.5" customHeight="1" x14ac:dyDescent="0.25">
      <c r="A25" s="24">
        <v>21</v>
      </c>
      <c r="B25" s="136"/>
      <c r="C25" s="55"/>
      <c r="D25" s="53" t="s">
        <v>200</v>
      </c>
      <c r="E25" s="127" t="s">
        <v>347</v>
      </c>
      <c r="F25" s="56"/>
      <c r="G25" s="57">
        <v>0</v>
      </c>
      <c r="H25" s="57">
        <v>0</v>
      </c>
      <c r="I25" s="9">
        <v>0</v>
      </c>
      <c r="J25" s="9">
        <v>0</v>
      </c>
      <c r="K25" s="9">
        <v>0</v>
      </c>
      <c r="L25" s="9">
        <v>0</v>
      </c>
      <c r="M25" s="3">
        <v>0</v>
      </c>
      <c r="N25" s="3">
        <v>0</v>
      </c>
      <c r="O25" s="9"/>
      <c r="P25" s="9"/>
      <c r="Q25" s="9"/>
      <c r="R25" s="9">
        <v>0</v>
      </c>
      <c r="S25" s="9">
        <v>143400</v>
      </c>
      <c r="T25" s="14">
        <v>173800</v>
      </c>
      <c r="U25" s="14">
        <v>0</v>
      </c>
      <c r="V25" s="14">
        <f t="shared" ref="V25" si="12">SUM(T25:U25)</f>
        <v>173800</v>
      </c>
    </row>
    <row r="26" spans="1:25" ht="15.75" x14ac:dyDescent="0.25">
      <c r="A26" s="24">
        <v>22</v>
      </c>
      <c r="B26" s="136" t="s">
        <v>185</v>
      </c>
      <c r="C26" s="58">
        <v>942112</v>
      </c>
      <c r="D26" s="48" t="s">
        <v>201</v>
      </c>
      <c r="E26" s="320" t="s">
        <v>202</v>
      </c>
      <c r="F26" s="320"/>
      <c r="G26" s="48">
        <f t="shared" ref="G26:L26" si="13">G11+G22+G25</f>
        <v>278497684</v>
      </c>
      <c r="H26" s="48">
        <f t="shared" si="13"/>
        <v>284097650</v>
      </c>
      <c r="I26" s="48">
        <f t="shared" si="13"/>
        <v>0</v>
      </c>
      <c r="J26" s="48">
        <f t="shared" si="13"/>
        <v>284097650</v>
      </c>
      <c r="K26" s="48">
        <f t="shared" si="13"/>
        <v>0</v>
      </c>
      <c r="L26" s="48">
        <f t="shared" si="13"/>
        <v>284097650</v>
      </c>
      <c r="M26" s="16">
        <v>0</v>
      </c>
      <c r="N26" s="11">
        <f>L26+0</f>
        <v>284097650</v>
      </c>
      <c r="O26" s="11">
        <f>O22+O21+O20+O19+O16+O12</f>
        <v>304062820</v>
      </c>
      <c r="P26" s="99">
        <f>SUM(P11,P22,P25:P25)</f>
        <v>333674930</v>
      </c>
      <c r="Q26" s="99">
        <f>SUM(Q11,Q22,Q25:Q25)</f>
        <v>394561816</v>
      </c>
      <c r="R26" s="99">
        <f>SUM(R11,R22,R25:R25)</f>
        <v>394507130</v>
      </c>
      <c r="S26" s="99">
        <f>SUM(S11,S22,S25:S25)</f>
        <v>588141344</v>
      </c>
      <c r="T26" s="159">
        <f>SUM(T11,T22,T25:T25)</f>
        <v>744428624</v>
      </c>
      <c r="U26" s="159">
        <f t="shared" ref="U26" si="14">SUM(U11,U22,U25:U25)</f>
        <v>-33723296</v>
      </c>
      <c r="V26" s="159">
        <f>SUM(V11,V22,V25:V25)</f>
        <v>710705328</v>
      </c>
    </row>
    <row r="27" spans="1:25" ht="15.75" x14ac:dyDescent="0.25">
      <c r="A27" s="24">
        <v>23</v>
      </c>
      <c r="B27" s="136" t="s">
        <v>185</v>
      </c>
      <c r="C27" s="59">
        <v>9421133</v>
      </c>
      <c r="D27" s="53" t="s">
        <v>203</v>
      </c>
      <c r="E27" s="56" t="s">
        <v>204</v>
      </c>
      <c r="F27" s="56"/>
      <c r="G27" s="57">
        <v>0</v>
      </c>
      <c r="H27" s="57">
        <v>0</v>
      </c>
      <c r="I27" s="9">
        <v>0</v>
      </c>
      <c r="J27" s="9">
        <v>0</v>
      </c>
      <c r="K27" s="9">
        <v>0</v>
      </c>
      <c r="L27" s="9">
        <f t="shared" ref="L27:L40" si="15">J27</f>
        <v>0</v>
      </c>
      <c r="M27" s="3">
        <v>0</v>
      </c>
      <c r="N27" s="3">
        <v>0</v>
      </c>
      <c r="O27" s="9"/>
      <c r="P27" s="9"/>
      <c r="Q27" s="9"/>
      <c r="R27" s="9"/>
      <c r="S27" s="9"/>
      <c r="T27" s="14"/>
      <c r="U27" s="14"/>
      <c r="V27" s="14"/>
    </row>
    <row r="28" spans="1:25" ht="15.75" x14ac:dyDescent="0.25">
      <c r="A28" s="24">
        <v>24</v>
      </c>
      <c r="B28" s="136"/>
      <c r="C28" s="12"/>
      <c r="D28" s="9" t="s">
        <v>205</v>
      </c>
      <c r="E28" s="310" t="s">
        <v>206</v>
      </c>
      <c r="F28" s="310"/>
      <c r="G28" s="9">
        <v>10200000</v>
      </c>
      <c r="H28" s="10">
        <v>10200000</v>
      </c>
      <c r="I28" s="9">
        <v>0</v>
      </c>
      <c r="J28" s="9">
        <f t="shared" ref="J28:J34" si="16">H28</f>
        <v>10200000</v>
      </c>
      <c r="K28" s="9">
        <v>0</v>
      </c>
      <c r="L28" s="9">
        <f t="shared" si="15"/>
        <v>10200000</v>
      </c>
      <c r="M28" s="3">
        <v>0</v>
      </c>
      <c r="N28" s="9">
        <f>L28+M28</f>
        <v>10200000</v>
      </c>
      <c r="O28" s="9">
        <v>10200000</v>
      </c>
      <c r="P28" s="9">
        <v>11890000</v>
      </c>
      <c r="Q28" s="9">
        <v>14873926</v>
      </c>
      <c r="R28" s="9">
        <v>14873926</v>
      </c>
      <c r="S28" s="9">
        <v>18600680</v>
      </c>
      <c r="T28" s="14">
        <v>18600680</v>
      </c>
      <c r="U28" s="14">
        <v>22811320</v>
      </c>
      <c r="V28" s="14">
        <f t="shared" ref="V28:V40" si="17">SUM(T28:U28)</f>
        <v>41412000</v>
      </c>
      <c r="X28" s="290">
        <v>41412000</v>
      </c>
      <c r="Y28" s="291">
        <f>X28-T28</f>
        <v>22811320</v>
      </c>
    </row>
    <row r="29" spans="1:25" ht="15.75" x14ac:dyDescent="0.25">
      <c r="A29" s="24">
        <v>25</v>
      </c>
      <c r="B29" s="136"/>
      <c r="C29" s="12"/>
      <c r="D29" s="9" t="s">
        <v>207</v>
      </c>
      <c r="E29" s="310" t="s">
        <v>288</v>
      </c>
      <c r="F29" s="310"/>
      <c r="G29" s="9">
        <v>24090000</v>
      </c>
      <c r="H29" s="60">
        <v>27390000</v>
      </c>
      <c r="I29" s="9">
        <v>0</v>
      </c>
      <c r="J29" s="9">
        <f t="shared" si="16"/>
        <v>27390000</v>
      </c>
      <c r="K29" s="9">
        <v>0</v>
      </c>
      <c r="L29" s="9">
        <f t="shared" si="15"/>
        <v>27390000</v>
      </c>
      <c r="M29" s="3">
        <v>0</v>
      </c>
      <c r="N29" s="9">
        <f>L29+M29</f>
        <v>27390000</v>
      </c>
      <c r="O29" s="9">
        <v>27390000</v>
      </c>
      <c r="P29" s="9">
        <v>29565000</v>
      </c>
      <c r="Q29" s="9">
        <v>39236157</v>
      </c>
      <c r="R29" s="9">
        <v>38751760</v>
      </c>
      <c r="S29" s="9">
        <v>51431370</v>
      </c>
      <c r="T29" s="14">
        <v>53483000</v>
      </c>
      <c r="U29" s="14">
        <v>0</v>
      </c>
      <c r="V29" s="14">
        <f t="shared" si="17"/>
        <v>53483000</v>
      </c>
      <c r="X29" s="290">
        <v>53483000</v>
      </c>
      <c r="Y29" s="291">
        <f t="shared" ref="Y29:Y30" si="18">X29-T29</f>
        <v>0</v>
      </c>
    </row>
    <row r="30" spans="1:25" ht="15.75" x14ac:dyDescent="0.25">
      <c r="A30" s="24">
        <v>26</v>
      </c>
      <c r="B30" s="136"/>
      <c r="C30" s="12"/>
      <c r="D30" s="9" t="s">
        <v>208</v>
      </c>
      <c r="E30" s="310" t="s">
        <v>209</v>
      </c>
      <c r="F30" s="310"/>
      <c r="G30" s="9">
        <v>5314560</v>
      </c>
      <c r="H30" s="10">
        <v>5702080</v>
      </c>
      <c r="I30" s="9">
        <v>0</v>
      </c>
      <c r="J30" s="9">
        <f t="shared" si="16"/>
        <v>5702080</v>
      </c>
      <c r="K30" s="9">
        <v>0</v>
      </c>
      <c r="L30" s="9">
        <f t="shared" si="15"/>
        <v>5702080</v>
      </c>
      <c r="M30" s="3">
        <v>0</v>
      </c>
      <c r="N30" s="9">
        <f>L30+M30</f>
        <v>5702080</v>
      </c>
      <c r="O30" s="9">
        <v>6536000</v>
      </c>
      <c r="P30" s="9">
        <v>12608400</v>
      </c>
      <c r="Q30" s="9">
        <v>14023900</v>
      </c>
      <c r="R30" s="9">
        <v>13016750</v>
      </c>
      <c r="S30" s="9">
        <v>16972000</v>
      </c>
      <c r="T30" s="14">
        <v>18589200</v>
      </c>
      <c r="U30" s="14">
        <v>0</v>
      </c>
      <c r="V30" s="14">
        <f t="shared" si="17"/>
        <v>18589200</v>
      </c>
      <c r="X30" s="290">
        <v>28765870</v>
      </c>
      <c r="Y30" s="291">
        <f t="shared" si="18"/>
        <v>10176670</v>
      </c>
    </row>
    <row r="31" spans="1:25" ht="15.75" x14ac:dyDescent="0.25">
      <c r="A31" s="24">
        <v>27</v>
      </c>
      <c r="B31" s="136"/>
      <c r="C31" s="12"/>
      <c r="D31" s="9" t="s">
        <v>210</v>
      </c>
      <c r="E31" s="310" t="s">
        <v>211</v>
      </c>
      <c r="F31" s="310"/>
      <c r="G31" s="9">
        <v>11090000</v>
      </c>
      <c r="H31" s="10">
        <v>10810000</v>
      </c>
      <c r="I31" s="9">
        <v>0</v>
      </c>
      <c r="J31" s="61">
        <f t="shared" si="16"/>
        <v>10810000</v>
      </c>
      <c r="K31" s="62">
        <v>0</v>
      </c>
      <c r="L31" s="9">
        <f t="shared" si="15"/>
        <v>10810000</v>
      </c>
      <c r="M31" s="3">
        <v>0</v>
      </c>
      <c r="N31" s="9">
        <f>L31+M31</f>
        <v>10810000</v>
      </c>
      <c r="O31" s="9">
        <v>10505000</v>
      </c>
      <c r="P31" s="9">
        <v>11816000</v>
      </c>
      <c r="Q31" s="9">
        <v>15383290</v>
      </c>
      <c r="R31" s="9">
        <v>14357030</v>
      </c>
      <c r="S31" s="9">
        <v>18175000</v>
      </c>
      <c r="T31" s="14">
        <v>25375900</v>
      </c>
      <c r="U31" s="14">
        <v>0</v>
      </c>
      <c r="V31" s="14">
        <f t="shared" si="17"/>
        <v>25375900</v>
      </c>
    </row>
    <row r="32" spans="1:25" ht="15.75" x14ac:dyDescent="0.25">
      <c r="A32" s="24">
        <v>28</v>
      </c>
      <c r="B32" s="136"/>
      <c r="C32" s="12"/>
      <c r="D32" s="9" t="s">
        <v>212</v>
      </c>
      <c r="E32" s="310" t="s">
        <v>213</v>
      </c>
      <c r="F32" s="310"/>
      <c r="G32" s="9">
        <v>3100000</v>
      </c>
      <c r="H32" s="10">
        <v>3100000</v>
      </c>
      <c r="I32" s="9">
        <v>0</v>
      </c>
      <c r="J32" s="9">
        <f t="shared" si="16"/>
        <v>3100000</v>
      </c>
      <c r="K32" s="9">
        <v>0</v>
      </c>
      <c r="L32" s="9">
        <f t="shared" si="15"/>
        <v>3100000</v>
      </c>
      <c r="M32" s="3">
        <v>0</v>
      </c>
      <c r="N32" s="9">
        <f t="shared" ref="N32:N40" si="19">L32+M32</f>
        <v>3100000</v>
      </c>
      <c r="O32" s="9">
        <v>4250000</v>
      </c>
      <c r="P32" s="9">
        <v>4479000</v>
      </c>
      <c r="Q32" s="9">
        <v>5142300</v>
      </c>
      <c r="R32" s="9">
        <v>5142300</v>
      </c>
      <c r="S32" s="9">
        <v>6047200</v>
      </c>
      <c r="T32" s="14">
        <v>6343500</v>
      </c>
      <c r="U32" s="14">
        <v>0</v>
      </c>
      <c r="V32" s="14">
        <f t="shared" si="17"/>
        <v>6343500</v>
      </c>
    </row>
    <row r="33" spans="1:22" ht="15.75" x14ac:dyDescent="0.25">
      <c r="A33" s="24">
        <v>29</v>
      </c>
      <c r="B33" s="136"/>
      <c r="C33" s="12"/>
      <c r="D33" s="9" t="s">
        <v>214</v>
      </c>
      <c r="E33" s="310" t="s">
        <v>215</v>
      </c>
      <c r="F33" s="310"/>
      <c r="G33" s="9">
        <v>6431000</v>
      </c>
      <c r="H33" s="9">
        <v>6322000</v>
      </c>
      <c r="I33" s="9">
        <v>0</v>
      </c>
      <c r="J33" s="9">
        <f t="shared" si="16"/>
        <v>6322000</v>
      </c>
      <c r="K33" s="9">
        <v>0</v>
      </c>
      <c r="L33" s="9">
        <f t="shared" si="15"/>
        <v>6322000</v>
      </c>
      <c r="M33" s="3">
        <v>0</v>
      </c>
      <c r="N33" s="9">
        <f t="shared" si="19"/>
        <v>6322000</v>
      </c>
      <c r="O33" s="9">
        <v>10830000</v>
      </c>
      <c r="P33" s="9">
        <v>12586000</v>
      </c>
      <c r="Q33" s="9">
        <v>14979390</v>
      </c>
      <c r="R33" s="9">
        <v>5935230</v>
      </c>
      <c r="S33" s="9">
        <v>8745750</v>
      </c>
      <c r="T33" s="14">
        <v>8942400</v>
      </c>
      <c r="U33" s="14">
        <v>0</v>
      </c>
      <c r="V33" s="14">
        <f t="shared" si="17"/>
        <v>8942400</v>
      </c>
    </row>
    <row r="34" spans="1:22" ht="15" customHeight="1" x14ac:dyDescent="0.25">
      <c r="A34" s="24">
        <v>30</v>
      </c>
      <c r="B34" s="136"/>
      <c r="C34" s="12"/>
      <c r="D34" s="9" t="s">
        <v>216</v>
      </c>
      <c r="E34" s="310" t="s">
        <v>217</v>
      </c>
      <c r="F34" s="310"/>
      <c r="G34" s="9">
        <v>3915900</v>
      </c>
      <c r="H34" s="9">
        <v>3503700</v>
      </c>
      <c r="I34" s="9">
        <v>0</v>
      </c>
      <c r="J34" s="9">
        <f t="shared" si="16"/>
        <v>3503700</v>
      </c>
      <c r="K34" s="9">
        <v>0</v>
      </c>
      <c r="L34" s="9">
        <f t="shared" si="15"/>
        <v>3503700</v>
      </c>
      <c r="M34" s="3">
        <v>0</v>
      </c>
      <c r="N34" s="9">
        <f t="shared" si="19"/>
        <v>3503700</v>
      </c>
      <c r="O34" s="9">
        <v>4064700</v>
      </c>
      <c r="P34" s="9">
        <v>14334600</v>
      </c>
      <c r="Q34" s="9">
        <v>16039480</v>
      </c>
      <c r="R34" s="9">
        <v>15745740</v>
      </c>
      <c r="S34" s="9">
        <f>6423120+13366900</f>
        <v>19790020</v>
      </c>
      <c r="T34" s="14">
        <f>8399600+14302600</f>
        <v>22702200</v>
      </c>
      <c r="U34" s="14">
        <v>0</v>
      </c>
      <c r="V34" s="14">
        <f t="shared" si="17"/>
        <v>22702200</v>
      </c>
    </row>
    <row r="35" spans="1:22" ht="15.75" x14ac:dyDescent="0.25">
      <c r="A35" s="24">
        <v>31</v>
      </c>
      <c r="B35" s="136"/>
      <c r="C35" s="12"/>
      <c r="D35" s="9" t="s">
        <v>218</v>
      </c>
      <c r="E35" s="310" t="s">
        <v>219</v>
      </c>
      <c r="F35" s="310"/>
      <c r="G35" s="9">
        <v>58152000</v>
      </c>
      <c r="H35" s="9">
        <v>0</v>
      </c>
      <c r="I35" s="9">
        <v>0</v>
      </c>
      <c r="J35" s="62">
        <v>0</v>
      </c>
      <c r="K35" s="62">
        <v>0</v>
      </c>
      <c r="L35" s="9">
        <f t="shared" si="15"/>
        <v>0</v>
      </c>
      <c r="M35" s="3">
        <v>0</v>
      </c>
      <c r="N35" s="9">
        <f t="shared" si="19"/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14">
        <v>0</v>
      </c>
      <c r="U35" s="14">
        <v>0</v>
      </c>
      <c r="V35" s="14">
        <f t="shared" si="17"/>
        <v>0</v>
      </c>
    </row>
    <row r="36" spans="1:22" ht="15.75" x14ac:dyDescent="0.25">
      <c r="A36" s="24">
        <v>32</v>
      </c>
      <c r="B36" s="136"/>
      <c r="C36" s="12"/>
      <c r="D36" s="9"/>
      <c r="E36" s="321" t="s">
        <v>220</v>
      </c>
      <c r="F36" s="322"/>
      <c r="G36" s="9">
        <v>0</v>
      </c>
      <c r="H36" s="9">
        <v>8838000</v>
      </c>
      <c r="I36" s="9">
        <v>0</v>
      </c>
      <c r="J36" s="62">
        <f t="shared" ref="J36:J48" si="20">H36</f>
        <v>8838000</v>
      </c>
      <c r="K36" s="62">
        <v>0</v>
      </c>
      <c r="L36" s="9">
        <f t="shared" si="15"/>
        <v>8838000</v>
      </c>
      <c r="M36" s="3">
        <v>0</v>
      </c>
      <c r="N36" s="9">
        <f t="shared" si="19"/>
        <v>8838000</v>
      </c>
      <c r="O36" s="9">
        <v>8838000</v>
      </c>
      <c r="P36" s="9">
        <v>10200000</v>
      </c>
      <c r="Q36" s="9">
        <v>34953500</v>
      </c>
      <c r="R36" s="9">
        <v>38448850</v>
      </c>
      <c r="S36" s="9">
        <v>53688600</v>
      </c>
      <c r="T36" s="14">
        <v>92673000</v>
      </c>
      <c r="U36" s="14">
        <v>0</v>
      </c>
      <c r="V36" s="14">
        <f t="shared" si="17"/>
        <v>92673000</v>
      </c>
    </row>
    <row r="37" spans="1:22" ht="15.75" x14ac:dyDescent="0.25">
      <c r="A37" s="24">
        <v>33</v>
      </c>
      <c r="B37" s="136"/>
      <c r="C37" s="12"/>
      <c r="D37" s="9"/>
      <c r="E37" s="321" t="s">
        <v>221</v>
      </c>
      <c r="F37" s="322"/>
      <c r="G37" s="9">
        <v>0</v>
      </c>
      <c r="H37" s="9">
        <v>53874000</v>
      </c>
      <c r="I37" s="9">
        <v>0</v>
      </c>
      <c r="J37" s="62">
        <v>53874000</v>
      </c>
      <c r="K37" s="62">
        <v>0</v>
      </c>
      <c r="L37" s="9">
        <f t="shared" si="15"/>
        <v>53874000</v>
      </c>
      <c r="M37" s="3">
        <v>0</v>
      </c>
      <c r="N37" s="9">
        <f t="shared" si="19"/>
        <v>53874000</v>
      </c>
      <c r="O37" s="9">
        <v>53874000</v>
      </c>
      <c r="P37" s="9">
        <v>76680000</v>
      </c>
      <c r="Q37" s="9">
        <v>88883900</v>
      </c>
      <c r="R37" s="9">
        <v>99789900</v>
      </c>
      <c r="S37" s="9">
        <v>105305200</v>
      </c>
      <c r="T37" s="14">
        <v>108602400</v>
      </c>
      <c r="U37" s="14">
        <v>0</v>
      </c>
      <c r="V37" s="14">
        <f t="shared" si="17"/>
        <v>108602400</v>
      </c>
    </row>
    <row r="38" spans="1:22" ht="15.75" x14ac:dyDescent="0.25">
      <c r="A38" s="24">
        <v>34</v>
      </c>
      <c r="B38" s="136"/>
      <c r="C38" s="12"/>
      <c r="D38" s="9"/>
      <c r="E38" s="321" t="s">
        <v>222</v>
      </c>
      <c r="F38" s="322"/>
      <c r="G38" s="9">
        <v>0</v>
      </c>
      <c r="H38" s="9">
        <v>13013000</v>
      </c>
      <c r="I38" s="9">
        <v>0</v>
      </c>
      <c r="J38" s="62">
        <f t="shared" si="20"/>
        <v>13013000</v>
      </c>
      <c r="K38" s="62">
        <v>0</v>
      </c>
      <c r="L38" s="9">
        <f t="shared" si="15"/>
        <v>13013000</v>
      </c>
      <c r="M38" s="3">
        <v>0</v>
      </c>
      <c r="N38" s="9">
        <f t="shared" si="19"/>
        <v>13013000</v>
      </c>
      <c r="O38" s="9">
        <v>24001000</v>
      </c>
      <c r="P38" s="9">
        <v>17500000</v>
      </c>
      <c r="Q38" s="9">
        <v>16209000</v>
      </c>
      <c r="R38" s="9">
        <v>21998000</v>
      </c>
      <c r="S38" s="9">
        <v>15840800</v>
      </c>
      <c r="T38" s="14">
        <v>35840000</v>
      </c>
      <c r="U38" s="14">
        <v>0</v>
      </c>
      <c r="V38" s="14">
        <f t="shared" si="17"/>
        <v>35840000</v>
      </c>
    </row>
    <row r="39" spans="1:22" s="63" customFormat="1" ht="15.75" x14ac:dyDescent="0.25">
      <c r="A39" s="24">
        <v>35</v>
      </c>
      <c r="B39" s="137"/>
      <c r="C39" s="64"/>
      <c r="D39" s="65"/>
      <c r="E39" s="321" t="s">
        <v>289</v>
      </c>
      <c r="F39" s="322"/>
      <c r="G39" s="62">
        <v>0</v>
      </c>
      <c r="H39" s="62">
        <v>22975651</v>
      </c>
      <c r="I39" s="66">
        <v>0</v>
      </c>
      <c r="J39" s="62">
        <f t="shared" si="20"/>
        <v>22975651</v>
      </c>
      <c r="K39" s="62">
        <v>0</v>
      </c>
      <c r="L39" s="62">
        <f t="shared" si="15"/>
        <v>22975651</v>
      </c>
      <c r="M39" s="92">
        <v>0</v>
      </c>
      <c r="N39" s="9">
        <f t="shared" si="19"/>
        <v>22975651</v>
      </c>
      <c r="O39" s="62">
        <v>22427860</v>
      </c>
      <c r="P39" s="9">
        <v>22328700</v>
      </c>
      <c r="Q39" s="9">
        <v>22082288</v>
      </c>
      <c r="R39" s="9">
        <v>21866675</v>
      </c>
      <c r="S39" s="9">
        <v>26752000</v>
      </c>
      <c r="T39" s="14">
        <v>28765870</v>
      </c>
      <c r="U39" s="14">
        <v>0</v>
      </c>
      <c r="V39" s="14">
        <f t="shared" si="17"/>
        <v>28765870</v>
      </c>
    </row>
    <row r="40" spans="1:22" ht="15.75" x14ac:dyDescent="0.25">
      <c r="A40" s="24">
        <v>36</v>
      </c>
      <c r="B40" s="136"/>
      <c r="C40" s="12"/>
      <c r="D40" s="9" t="s">
        <v>223</v>
      </c>
      <c r="E40" s="310" t="s">
        <v>224</v>
      </c>
      <c r="F40" s="310"/>
      <c r="G40" s="9">
        <v>10780000</v>
      </c>
      <c r="H40" s="9">
        <v>10780000</v>
      </c>
      <c r="I40" s="9">
        <v>0</v>
      </c>
      <c r="J40" s="62">
        <f t="shared" si="20"/>
        <v>10780000</v>
      </c>
      <c r="K40" s="9">
        <v>0</v>
      </c>
      <c r="L40" s="9">
        <f t="shared" si="15"/>
        <v>10780000</v>
      </c>
      <c r="M40" s="3">
        <v>0</v>
      </c>
      <c r="N40" s="9">
        <f t="shared" si="19"/>
        <v>10780000</v>
      </c>
      <c r="O40" s="9">
        <v>12525700</v>
      </c>
      <c r="P40" s="9">
        <v>13229700</v>
      </c>
      <c r="Q40" s="9">
        <v>15480740</v>
      </c>
      <c r="R40" s="9">
        <v>15480740</v>
      </c>
      <c r="S40" s="9">
        <v>18891400</v>
      </c>
      <c r="T40" s="14">
        <v>20101400</v>
      </c>
      <c r="U40" s="14">
        <v>0</v>
      </c>
      <c r="V40" s="14">
        <f t="shared" si="17"/>
        <v>20101400</v>
      </c>
    </row>
    <row r="41" spans="1:22" ht="15" customHeight="1" x14ac:dyDescent="0.25">
      <c r="A41" s="24">
        <v>37</v>
      </c>
      <c r="B41" s="136"/>
      <c r="C41" s="67">
        <v>9421133</v>
      </c>
      <c r="D41" s="8" t="s">
        <v>225</v>
      </c>
      <c r="E41" s="319" t="s">
        <v>226</v>
      </c>
      <c r="F41" s="319"/>
      <c r="G41" s="53">
        <f>SUM(G27:G40)</f>
        <v>133073460</v>
      </c>
      <c r="H41" s="53">
        <f t="shared" ref="H41:S41" si="21">SUM(H28:H40)</f>
        <v>176508431</v>
      </c>
      <c r="I41" s="53">
        <f t="shared" si="21"/>
        <v>0</v>
      </c>
      <c r="J41" s="53">
        <f t="shared" si="21"/>
        <v>176508431</v>
      </c>
      <c r="K41" s="53">
        <f t="shared" si="21"/>
        <v>0</v>
      </c>
      <c r="L41" s="53">
        <f t="shared" si="21"/>
        <v>176508431</v>
      </c>
      <c r="M41" s="53">
        <f t="shared" si="21"/>
        <v>0</v>
      </c>
      <c r="N41" s="53">
        <f t="shared" si="21"/>
        <v>176508431</v>
      </c>
      <c r="O41" s="11">
        <f t="shared" si="21"/>
        <v>195442260</v>
      </c>
      <c r="P41" s="121">
        <f t="shared" si="21"/>
        <v>237217400</v>
      </c>
      <c r="Q41" s="121">
        <f t="shared" si="21"/>
        <v>297287871</v>
      </c>
      <c r="R41" s="121">
        <f t="shared" si="21"/>
        <v>305406901</v>
      </c>
      <c r="S41" s="121">
        <f t="shared" si="21"/>
        <v>360240020</v>
      </c>
      <c r="T41" s="262">
        <f t="shared" ref="T41:U41" si="22">SUM(T28:T40)</f>
        <v>440019550</v>
      </c>
      <c r="U41" s="262">
        <f t="shared" si="22"/>
        <v>22811320</v>
      </c>
      <c r="V41" s="262">
        <f>SUM(V28:V40)</f>
        <v>462830870</v>
      </c>
    </row>
    <row r="42" spans="1:22" ht="15.75" x14ac:dyDescent="0.25">
      <c r="A42" s="24">
        <v>38</v>
      </c>
      <c r="B42" s="136"/>
      <c r="C42" s="67">
        <v>9421134</v>
      </c>
      <c r="D42" s="8" t="s">
        <v>227</v>
      </c>
      <c r="E42" s="323" t="s">
        <v>228</v>
      </c>
      <c r="F42" s="323"/>
      <c r="G42" s="53">
        <f>G43+G44</f>
        <v>38308000</v>
      </c>
      <c r="H42" s="53">
        <f>SUM(H43:H44)</f>
        <v>38150000</v>
      </c>
      <c r="I42" s="53">
        <f t="shared" ref="I42:N42" si="23">SUM(I43:I44)</f>
        <v>0</v>
      </c>
      <c r="J42" s="53">
        <f t="shared" si="23"/>
        <v>38150000</v>
      </c>
      <c r="K42" s="53">
        <f t="shared" si="23"/>
        <v>0</v>
      </c>
      <c r="L42" s="53">
        <f t="shared" si="23"/>
        <v>38150000</v>
      </c>
      <c r="M42" s="53">
        <f t="shared" si="23"/>
        <v>0</v>
      </c>
      <c r="N42" s="53">
        <f t="shared" si="23"/>
        <v>38150000</v>
      </c>
      <c r="O42" s="11">
        <f>O43+O44</f>
        <v>49804320</v>
      </c>
      <c r="P42" s="121">
        <f>SUM(P43:P44)</f>
        <v>51606320</v>
      </c>
      <c r="Q42" s="121">
        <f>SUM(Q43:Q44)</f>
        <v>59991300</v>
      </c>
      <c r="R42" s="121">
        <f>SUM(R43:R44)</f>
        <v>71403200</v>
      </c>
      <c r="S42" s="121">
        <f>SUM(S43:S44)</f>
        <v>78626300</v>
      </c>
      <c r="T42" s="262">
        <f>SUM(T43:T44)</f>
        <v>89377748</v>
      </c>
      <c r="U42" s="262">
        <v>0</v>
      </c>
      <c r="V42" s="262">
        <f>SUM(V43:V44)</f>
        <v>89377748</v>
      </c>
    </row>
    <row r="43" spans="1:22" ht="15.75" x14ac:dyDescent="0.25">
      <c r="A43" s="24">
        <v>39</v>
      </c>
      <c r="B43" s="136"/>
      <c r="C43" s="67"/>
      <c r="D43" s="10" t="s">
        <v>229</v>
      </c>
      <c r="E43" s="318" t="s">
        <v>230</v>
      </c>
      <c r="F43" s="318"/>
      <c r="G43" s="57">
        <v>22784000</v>
      </c>
      <c r="H43" s="10">
        <v>22784000</v>
      </c>
      <c r="I43" s="9">
        <v>0</v>
      </c>
      <c r="J43" s="62">
        <f t="shared" si="20"/>
        <v>22784000</v>
      </c>
      <c r="K43" s="9">
        <v>0</v>
      </c>
      <c r="L43" s="9">
        <f>J43</f>
        <v>22784000</v>
      </c>
      <c r="M43" s="3">
        <v>0</v>
      </c>
      <c r="N43" s="9">
        <f>L43+M43</f>
        <v>22784000</v>
      </c>
      <c r="O43" s="9">
        <v>30864320</v>
      </c>
      <c r="P43" s="9">
        <v>33872320</v>
      </c>
      <c r="Q43" s="9">
        <v>38079300</v>
      </c>
      <c r="R43" s="9">
        <v>43519200</v>
      </c>
      <c r="S43" s="9">
        <v>50742300</v>
      </c>
      <c r="T43" s="14">
        <v>54538400</v>
      </c>
      <c r="U43" s="14">
        <v>0</v>
      </c>
      <c r="V43" s="14">
        <f>SUM(T43:U43)</f>
        <v>54538400</v>
      </c>
    </row>
    <row r="44" spans="1:22" ht="15.75" x14ac:dyDescent="0.25">
      <c r="A44" s="24">
        <v>40</v>
      </c>
      <c r="B44" s="136"/>
      <c r="C44" s="67"/>
      <c r="D44" s="10" t="s">
        <v>231</v>
      </c>
      <c r="E44" s="318" t="s">
        <v>232</v>
      </c>
      <c r="F44" s="318"/>
      <c r="G44" s="57">
        <v>15524000</v>
      </c>
      <c r="H44" s="10">
        <v>15366000</v>
      </c>
      <c r="I44" s="9">
        <v>0</v>
      </c>
      <c r="J44" s="9">
        <f t="shared" si="20"/>
        <v>15366000</v>
      </c>
      <c r="K44" s="9">
        <v>0</v>
      </c>
      <c r="L44" s="9">
        <f>J44</f>
        <v>15366000</v>
      </c>
      <c r="M44" s="3">
        <v>0</v>
      </c>
      <c r="N44" s="9">
        <f>L44+M44</f>
        <v>15366000</v>
      </c>
      <c r="O44" s="9">
        <v>18940000</v>
      </c>
      <c r="P44" s="9">
        <v>17734000</v>
      </c>
      <c r="Q44" s="9">
        <v>21912000</v>
      </c>
      <c r="R44" s="9">
        <v>27884000</v>
      </c>
      <c r="S44" s="9">
        <v>27884000</v>
      </c>
      <c r="T44" s="14">
        <v>34839348</v>
      </c>
      <c r="U44" s="14">
        <v>0</v>
      </c>
      <c r="V44" s="14">
        <f>SUM(T44:U44)</f>
        <v>34839348</v>
      </c>
    </row>
    <row r="45" spans="1:22" ht="15.75" x14ac:dyDescent="0.25">
      <c r="A45" s="24">
        <v>41</v>
      </c>
      <c r="B45" s="136"/>
      <c r="C45" s="50">
        <v>9421123</v>
      </c>
      <c r="D45" s="8" t="s">
        <v>233</v>
      </c>
      <c r="E45" s="319" t="s">
        <v>234</v>
      </c>
      <c r="F45" s="319"/>
      <c r="G45" s="53">
        <f>G46+G47+G48</f>
        <v>88326315</v>
      </c>
      <c r="H45" s="53">
        <f>SUM(H46:H48)</f>
        <v>87497627</v>
      </c>
      <c r="I45" s="9">
        <v>0</v>
      </c>
      <c r="J45" s="11">
        <f t="shared" si="20"/>
        <v>87497627</v>
      </c>
      <c r="K45" s="11">
        <v>0</v>
      </c>
      <c r="L45" s="11">
        <f>L46+L47+L48</f>
        <v>87497627</v>
      </c>
      <c r="M45" s="11">
        <f t="shared" ref="M45:N45" si="24">M46+M47+M48</f>
        <v>0</v>
      </c>
      <c r="N45" s="11">
        <f t="shared" si="24"/>
        <v>87497627</v>
      </c>
      <c r="O45" s="11">
        <f>O46+O47+O48</f>
        <v>86074389</v>
      </c>
      <c r="P45" s="121">
        <f t="shared" ref="P45:U45" si="25">SUM(P46:P48)</f>
        <v>88787408</v>
      </c>
      <c r="Q45" s="121">
        <f t="shared" si="25"/>
        <v>109447330</v>
      </c>
      <c r="R45" s="121">
        <f t="shared" si="25"/>
        <v>117375802</v>
      </c>
      <c r="S45" s="121">
        <f t="shared" si="25"/>
        <v>182928195</v>
      </c>
      <c r="T45" s="262">
        <f t="shared" si="25"/>
        <v>186269458</v>
      </c>
      <c r="U45" s="262">
        <f t="shared" si="25"/>
        <v>0</v>
      </c>
      <c r="V45" s="262">
        <f t="shared" ref="V45" si="26">SUM(V46:V48)</f>
        <v>186269458</v>
      </c>
    </row>
    <row r="46" spans="1:22" ht="15.75" x14ac:dyDescent="0.25">
      <c r="A46" s="24">
        <v>42</v>
      </c>
      <c r="B46" s="136"/>
      <c r="C46" s="50"/>
      <c r="D46" s="8" t="s">
        <v>235</v>
      </c>
      <c r="E46" s="68"/>
      <c r="F46" s="52" t="s">
        <v>236</v>
      </c>
      <c r="G46" s="57">
        <v>56829000</v>
      </c>
      <c r="H46" s="57">
        <v>54701000</v>
      </c>
      <c r="I46" s="9">
        <v>0</v>
      </c>
      <c r="J46" s="9">
        <f t="shared" si="20"/>
        <v>54701000</v>
      </c>
      <c r="K46" s="9">
        <v>0</v>
      </c>
      <c r="L46" s="9">
        <f>J46</f>
        <v>54701000</v>
      </c>
      <c r="M46" s="3">
        <v>0</v>
      </c>
      <c r="N46" s="9">
        <f>L46+M46</f>
        <v>54701000</v>
      </c>
      <c r="O46" s="9">
        <v>63052000</v>
      </c>
      <c r="P46" s="9">
        <v>51630480</v>
      </c>
      <c r="Q46" s="9">
        <v>65455272</v>
      </c>
      <c r="R46" s="9">
        <v>69910767</v>
      </c>
      <c r="S46" s="9">
        <v>91767000</v>
      </c>
      <c r="T46" s="14">
        <v>99630360</v>
      </c>
      <c r="U46" s="14">
        <v>0</v>
      </c>
      <c r="V46" s="14">
        <f>SUM(T46:U46)</f>
        <v>99630360</v>
      </c>
    </row>
    <row r="47" spans="1:22" ht="15.75" x14ac:dyDescent="0.25">
      <c r="A47" s="24">
        <v>43</v>
      </c>
      <c r="B47" s="136"/>
      <c r="C47" s="50"/>
      <c r="D47" s="8" t="s">
        <v>237</v>
      </c>
      <c r="E47" s="68"/>
      <c r="F47" s="52" t="s">
        <v>238</v>
      </c>
      <c r="G47" s="57">
        <v>28350915</v>
      </c>
      <c r="H47" s="57">
        <v>30210765</v>
      </c>
      <c r="I47" s="9">
        <v>0</v>
      </c>
      <c r="J47" s="9">
        <f t="shared" si="20"/>
        <v>30210765</v>
      </c>
      <c r="K47" s="9">
        <v>0</v>
      </c>
      <c r="L47" s="9">
        <f>J47</f>
        <v>30210765</v>
      </c>
      <c r="M47" s="3">
        <v>0</v>
      </c>
      <c r="N47" s="9">
        <f t="shared" ref="N47:N48" si="27">L47+M47</f>
        <v>30210765</v>
      </c>
      <c r="O47" s="9">
        <v>20852114</v>
      </c>
      <c r="P47" s="9">
        <v>35497658</v>
      </c>
      <c r="Q47" s="9">
        <v>42529153</v>
      </c>
      <c r="R47" s="9">
        <v>46110430</v>
      </c>
      <c r="S47" s="9">
        <v>89933130</v>
      </c>
      <c r="T47" s="14">
        <v>85423858</v>
      </c>
      <c r="U47" s="14">
        <v>0</v>
      </c>
      <c r="V47" s="14">
        <f t="shared" ref="V47:V49" si="28">SUM(T47:U47)</f>
        <v>85423858</v>
      </c>
    </row>
    <row r="48" spans="1:22" ht="15.75" x14ac:dyDescent="0.25">
      <c r="A48" s="24">
        <v>44</v>
      </c>
      <c r="B48" s="136"/>
      <c r="C48" s="50"/>
      <c r="D48" s="8" t="s">
        <v>239</v>
      </c>
      <c r="E48" s="52" t="s">
        <v>240</v>
      </c>
      <c r="F48" s="52"/>
      <c r="G48" s="57">
        <v>3146400</v>
      </c>
      <c r="H48" s="57">
        <v>2585862</v>
      </c>
      <c r="I48" s="9">
        <v>0</v>
      </c>
      <c r="J48" s="9">
        <f t="shared" si="20"/>
        <v>2585862</v>
      </c>
      <c r="K48" s="9">
        <v>0</v>
      </c>
      <c r="L48" s="9">
        <f>J48</f>
        <v>2585862</v>
      </c>
      <c r="M48" s="3">
        <v>0</v>
      </c>
      <c r="N48" s="9">
        <f t="shared" si="27"/>
        <v>2585862</v>
      </c>
      <c r="O48" s="9">
        <v>2170275</v>
      </c>
      <c r="P48" s="9">
        <v>1659270</v>
      </c>
      <c r="Q48" s="9">
        <v>1462905</v>
      </c>
      <c r="R48" s="9">
        <v>1354605</v>
      </c>
      <c r="S48" s="9">
        <v>1228065</v>
      </c>
      <c r="T48" s="14">
        <v>1215240</v>
      </c>
      <c r="U48" s="14">
        <v>0</v>
      </c>
      <c r="V48" s="14">
        <f t="shared" si="28"/>
        <v>1215240</v>
      </c>
    </row>
    <row r="49" spans="1:22" ht="14.1" customHeight="1" x14ac:dyDescent="0.25">
      <c r="A49" s="24">
        <v>45</v>
      </c>
      <c r="B49" s="136"/>
      <c r="C49" s="50"/>
      <c r="D49" s="8"/>
      <c r="E49" s="129" t="s">
        <v>254</v>
      </c>
      <c r="F49" s="130"/>
      <c r="G49" s="57">
        <v>0</v>
      </c>
      <c r="H49" s="69">
        <v>0</v>
      </c>
      <c r="I49" s="9">
        <v>17081000</v>
      </c>
      <c r="J49" s="9">
        <v>17081000</v>
      </c>
      <c r="K49" s="9">
        <v>8609746</v>
      </c>
      <c r="L49" s="9">
        <f>K49+J49</f>
        <v>25690746</v>
      </c>
      <c r="M49" s="9">
        <v>5507000</v>
      </c>
      <c r="N49" s="9">
        <f>L49+M49</f>
        <v>31197746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14">
        <v>0</v>
      </c>
      <c r="U49" s="14">
        <v>24572903</v>
      </c>
      <c r="V49" s="14">
        <f t="shared" si="28"/>
        <v>24572903</v>
      </c>
    </row>
    <row r="50" spans="1:22" s="43" customFormat="1" ht="22.5" customHeight="1" x14ac:dyDescent="0.25">
      <c r="A50" s="24">
        <v>46</v>
      </c>
      <c r="B50" s="136" t="s">
        <v>241</v>
      </c>
      <c r="C50" s="70">
        <v>942113</v>
      </c>
      <c r="D50" s="48" t="s">
        <v>242</v>
      </c>
      <c r="E50" s="320" t="s">
        <v>243</v>
      </c>
      <c r="F50" s="320"/>
      <c r="G50" s="48" t="e">
        <f>SUM(G41+G42+G45+#REF!)</f>
        <v>#REF!</v>
      </c>
      <c r="H50" s="48" t="e">
        <f>SUM(H41+H42+H45+#REF!)</f>
        <v>#REF!</v>
      </c>
      <c r="I50" s="71">
        <f>I49</f>
        <v>17081000</v>
      </c>
      <c r="J50" s="71" t="e">
        <f>H50+I50</f>
        <v>#REF!</v>
      </c>
      <c r="K50" s="11" t="e">
        <f>#REF!+#REF!+K49+#REF!</f>
        <v>#REF!</v>
      </c>
      <c r="L50" s="71" t="e">
        <f>L41+L42+L45+#REF!+#REF!+#REF!+L49+#REF!</f>
        <v>#REF!</v>
      </c>
      <c r="M50" s="71">
        <f>M49</f>
        <v>5507000</v>
      </c>
      <c r="N50" s="71" t="e">
        <f>N41+N42+N45+#REF!+#REF!+N49+#REF!</f>
        <v>#REF!</v>
      </c>
      <c r="O50" s="71">
        <f>O41+O42+O45</f>
        <v>331320969</v>
      </c>
      <c r="P50" s="122">
        <f>SUM(P41,P42,P45,P49:P49)</f>
        <v>377611128</v>
      </c>
      <c r="Q50" s="122">
        <f>SUM(Q41,Q42,Q45,Q49:Q49)</f>
        <v>466726501</v>
      </c>
      <c r="R50" s="122">
        <f>SUM(R41,R42,R45,R49:R49)</f>
        <v>494185903</v>
      </c>
      <c r="S50" s="122">
        <f>SUM(S41,S42,S45,S49:S49)</f>
        <v>621794515</v>
      </c>
      <c r="T50" s="169">
        <f>SUM(T41,T42,T45,T49:T49)</f>
        <v>715666756</v>
      </c>
      <c r="U50" s="169">
        <f t="shared" ref="U50:V50" si="29">SUM(U41,U42,U45,U49:U49)</f>
        <v>47384223</v>
      </c>
      <c r="V50" s="169">
        <f t="shared" si="29"/>
        <v>763050979</v>
      </c>
    </row>
    <row r="51" spans="1:22" s="43" customFormat="1" ht="15.75" x14ac:dyDescent="0.25">
      <c r="A51" s="24">
        <v>47</v>
      </c>
      <c r="B51" s="136" t="s">
        <v>244</v>
      </c>
      <c r="C51" s="70">
        <v>9421141</v>
      </c>
      <c r="D51" s="48" t="s">
        <v>245</v>
      </c>
      <c r="E51" s="320" t="s">
        <v>246</v>
      </c>
      <c r="F51" s="320"/>
      <c r="G51" s="48">
        <f>G52+G53</f>
        <v>44942020</v>
      </c>
      <c r="H51" s="48">
        <f>SUM(H52:H53)</f>
        <v>44865780</v>
      </c>
      <c r="I51" s="48">
        <v>2379000</v>
      </c>
      <c r="J51" s="71" t="e">
        <f>J52+J53+#REF!</f>
        <v>#REF!</v>
      </c>
      <c r="K51" s="71" t="e">
        <f>K52+K53+#REF!+#REF!</f>
        <v>#REF!</v>
      </c>
      <c r="L51" s="71" t="e">
        <f>L52+L53+#REF!+#REF!</f>
        <v>#REF!</v>
      </c>
      <c r="M51" s="71" t="e">
        <f>M52+#REF!</f>
        <v>#REF!</v>
      </c>
      <c r="N51" s="71" t="e">
        <f>N52+N53+#REF!+#REF!</f>
        <v>#REF!</v>
      </c>
      <c r="O51" s="71">
        <f>O52+O53</f>
        <v>29225862</v>
      </c>
      <c r="P51" s="122">
        <f>SUM(P52:P53)</f>
        <v>50541470</v>
      </c>
      <c r="Q51" s="122">
        <f>SUM(Q52:Q54)</f>
        <v>68537589</v>
      </c>
      <c r="R51" s="122">
        <f>SUM(R52:R54)</f>
        <v>84562006</v>
      </c>
      <c r="S51" s="122">
        <f>SUM(S52:S54)</f>
        <v>84768316</v>
      </c>
      <c r="T51" s="169">
        <f>SUM(T52:T54)</f>
        <v>84547016</v>
      </c>
      <c r="U51" s="169">
        <f t="shared" ref="U51:V51" si="30">SUM(U52:U54)</f>
        <v>0</v>
      </c>
      <c r="V51" s="169">
        <f t="shared" si="30"/>
        <v>84547016</v>
      </c>
    </row>
    <row r="52" spans="1:22" ht="15.75" x14ac:dyDescent="0.25">
      <c r="A52" s="24">
        <v>48</v>
      </c>
      <c r="B52" s="136"/>
      <c r="C52" s="67">
        <v>94211411</v>
      </c>
      <c r="D52" s="50" t="s">
        <v>247</v>
      </c>
      <c r="E52" s="315" t="s">
        <v>248</v>
      </c>
      <c r="F52" s="315"/>
      <c r="G52" s="10">
        <v>28510020</v>
      </c>
      <c r="H52" s="10">
        <v>28433780</v>
      </c>
      <c r="I52" s="9">
        <v>0</v>
      </c>
      <c r="J52" s="9">
        <f>H52</f>
        <v>28433780</v>
      </c>
      <c r="K52" s="9">
        <v>0</v>
      </c>
      <c r="L52" s="9">
        <f>J52</f>
        <v>28433780</v>
      </c>
      <c r="M52" s="9">
        <v>1803000</v>
      </c>
      <c r="N52" s="9">
        <f>L52+M52</f>
        <v>30236780</v>
      </c>
      <c r="O52" s="9">
        <v>29225862</v>
      </c>
      <c r="P52" s="9">
        <v>50541470</v>
      </c>
      <c r="Q52" s="9">
        <v>51237589</v>
      </c>
      <c r="R52" s="9">
        <v>50668848</v>
      </c>
      <c r="S52" s="9">
        <v>50381158</v>
      </c>
      <c r="T52" s="14">
        <v>50159858</v>
      </c>
      <c r="U52" s="14">
        <v>0</v>
      </c>
      <c r="V52" s="14">
        <f>SUM(T52:U52)</f>
        <v>50159858</v>
      </c>
    </row>
    <row r="53" spans="1:22" ht="15.75" x14ac:dyDescent="0.25">
      <c r="A53" s="24">
        <v>49</v>
      </c>
      <c r="B53" s="136"/>
      <c r="C53" s="50">
        <v>94211412</v>
      </c>
      <c r="D53" s="50" t="s">
        <v>249</v>
      </c>
      <c r="E53" s="315" t="s">
        <v>250</v>
      </c>
      <c r="F53" s="315"/>
      <c r="G53" s="10">
        <v>16432000</v>
      </c>
      <c r="H53" s="10">
        <v>16432000</v>
      </c>
      <c r="I53" s="9">
        <v>0</v>
      </c>
      <c r="J53" s="9">
        <f>H53</f>
        <v>16432000</v>
      </c>
      <c r="K53" s="9">
        <v>0</v>
      </c>
      <c r="L53" s="9">
        <f>J53</f>
        <v>16432000</v>
      </c>
      <c r="M53" s="9">
        <v>0</v>
      </c>
      <c r="N53" s="9">
        <f>L53+M53</f>
        <v>16432000</v>
      </c>
      <c r="O53" s="9">
        <v>0</v>
      </c>
      <c r="P53" s="9">
        <v>0</v>
      </c>
      <c r="Q53" s="9">
        <v>17300000</v>
      </c>
      <c r="R53" s="9">
        <v>17300000</v>
      </c>
      <c r="S53" s="9">
        <v>17300000</v>
      </c>
      <c r="T53" s="14">
        <v>17300000</v>
      </c>
      <c r="U53" s="14">
        <v>0</v>
      </c>
      <c r="V53" s="14">
        <f t="shared" ref="V53:V54" si="31">SUM(T53:U53)</f>
        <v>17300000</v>
      </c>
    </row>
    <row r="54" spans="1:22" ht="15.75" x14ac:dyDescent="0.25">
      <c r="A54" s="24">
        <v>50</v>
      </c>
      <c r="B54" s="136"/>
      <c r="C54" s="248"/>
      <c r="D54" s="50"/>
      <c r="E54" s="316" t="s">
        <v>334</v>
      </c>
      <c r="F54" s="317"/>
      <c r="G54" s="10"/>
      <c r="H54" s="10"/>
      <c r="I54" s="9"/>
      <c r="J54" s="9"/>
      <c r="K54" s="9"/>
      <c r="L54" s="9"/>
      <c r="M54" s="9"/>
      <c r="N54" s="9"/>
      <c r="O54" s="9"/>
      <c r="P54" s="9"/>
      <c r="Q54" s="9">
        <v>0</v>
      </c>
      <c r="R54" s="9">
        <v>16593158</v>
      </c>
      <c r="S54" s="9">
        <v>17087158</v>
      </c>
      <c r="T54" s="14">
        <v>17087158</v>
      </c>
      <c r="U54" s="14">
        <v>0</v>
      </c>
      <c r="V54" s="14">
        <f t="shared" si="31"/>
        <v>17087158</v>
      </c>
    </row>
    <row r="55" spans="1:22" ht="15.75" x14ac:dyDescent="0.25">
      <c r="A55" s="24">
        <v>51</v>
      </c>
      <c r="B55" s="136" t="s">
        <v>251</v>
      </c>
      <c r="C55" s="131">
        <v>94212</v>
      </c>
      <c r="D55" s="313" t="s">
        <v>252</v>
      </c>
      <c r="E55" s="313"/>
      <c r="F55" s="313"/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f t="shared" ref="N55:N56" si="32">L55+M55</f>
        <v>0</v>
      </c>
      <c r="O55" s="9">
        <v>0</v>
      </c>
      <c r="P55" s="133">
        <v>230000000</v>
      </c>
      <c r="Q55" s="133">
        <f>SUM(Q56:Q57)</f>
        <v>0</v>
      </c>
      <c r="R55" s="133">
        <f>SUM(R56:R57)</f>
        <v>50000000</v>
      </c>
      <c r="S55" s="133">
        <f>S56</f>
        <v>0</v>
      </c>
      <c r="T55" s="263">
        <f>T56</f>
        <v>4633169</v>
      </c>
      <c r="U55" s="263">
        <f t="shared" ref="U55:V55" si="33">U56</f>
        <v>0</v>
      </c>
      <c r="V55" s="263">
        <f t="shared" si="33"/>
        <v>4633169</v>
      </c>
    </row>
    <row r="56" spans="1:22" ht="15.75" x14ac:dyDescent="0.25">
      <c r="A56" s="24">
        <v>52</v>
      </c>
      <c r="B56" s="136"/>
      <c r="C56" s="72"/>
      <c r="D56" s="10" t="s">
        <v>253</v>
      </c>
      <c r="E56" s="309" t="s">
        <v>381</v>
      </c>
      <c r="F56" s="310"/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f t="shared" si="32"/>
        <v>0</v>
      </c>
      <c r="O56" s="9">
        <v>0</v>
      </c>
      <c r="P56" s="9">
        <v>230000000</v>
      </c>
      <c r="Q56" s="9">
        <v>0</v>
      </c>
      <c r="R56" s="9">
        <v>50000000</v>
      </c>
      <c r="S56" s="9">
        <v>0</v>
      </c>
      <c r="T56" s="14">
        <v>4633169</v>
      </c>
      <c r="U56" s="14">
        <v>0</v>
      </c>
      <c r="V56" s="14">
        <f>SUM(T56:U56)</f>
        <v>4633169</v>
      </c>
    </row>
    <row r="57" spans="1:22" ht="15.75" x14ac:dyDescent="0.25">
      <c r="A57" s="24">
        <v>53</v>
      </c>
      <c r="B57" s="136" t="s">
        <v>313</v>
      </c>
      <c r="C57" s="59">
        <v>942122</v>
      </c>
      <c r="D57" s="314" t="s">
        <v>314</v>
      </c>
      <c r="E57" s="314"/>
      <c r="F57" s="314"/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6">
        <v>0</v>
      </c>
      <c r="N57" s="9">
        <f>L57+M57</f>
        <v>0</v>
      </c>
      <c r="O57" s="9">
        <v>0</v>
      </c>
      <c r="P57" s="9">
        <v>0</v>
      </c>
      <c r="Q57" s="9">
        <v>0</v>
      </c>
      <c r="R57" s="133">
        <v>0</v>
      </c>
      <c r="S57" s="133">
        <v>3699200</v>
      </c>
      <c r="T57" s="263">
        <v>327383</v>
      </c>
      <c r="U57" s="263">
        <v>0</v>
      </c>
      <c r="V57" s="263">
        <v>327383</v>
      </c>
    </row>
    <row r="58" spans="1:22" ht="15.75" x14ac:dyDescent="0.25">
      <c r="A58" s="24">
        <v>54</v>
      </c>
      <c r="B58" s="50"/>
      <c r="C58" s="50"/>
      <c r="D58" s="50"/>
      <c r="E58" s="50" t="s">
        <v>255</v>
      </c>
      <c r="F58" s="50"/>
      <c r="G58" s="73" t="e">
        <f>G51+G50+G26+G7</f>
        <v>#REF!</v>
      </c>
      <c r="H58" s="73" t="e">
        <f>H51+H50+H26+H7</f>
        <v>#REF!</v>
      </c>
      <c r="I58" s="73" t="e">
        <f>I51+I50+I7</f>
        <v>#REF!</v>
      </c>
      <c r="J58" s="73" t="e">
        <f>J7+J26+J50+J51</f>
        <v>#REF!</v>
      </c>
      <c r="K58" s="11" t="e">
        <f>K51+K50+K26+K7</f>
        <v>#REF!</v>
      </c>
      <c r="L58" s="11" t="e">
        <f>L7+L26+L50+L51</f>
        <v>#REF!</v>
      </c>
      <c r="M58" s="11" t="e">
        <f>M51+M50+M26+M7</f>
        <v>#REF!</v>
      </c>
      <c r="N58" s="11" t="e">
        <f>N51+N50+N26+N7</f>
        <v>#REF!</v>
      </c>
      <c r="O58" s="11" t="e">
        <f>O7+O26+O50+O51</f>
        <v>#REF!</v>
      </c>
      <c r="P58" s="99" t="e">
        <f>P51+P50+P26+P7+#REF!+P55</f>
        <v>#REF!</v>
      </c>
      <c r="Q58" s="99">
        <f>Q51+Q50+Q26+Q7+Q55</f>
        <v>1428691246</v>
      </c>
      <c r="R58" s="99">
        <f>R51+R50+R26+R7+R55+R57</f>
        <v>1519819610</v>
      </c>
      <c r="S58" s="99">
        <f>S51+S50+S26+S7+S55+S57</f>
        <v>1843834136</v>
      </c>
      <c r="T58" s="159">
        <f>T51+T50+T26+T7+T55+T57</f>
        <v>2192726609</v>
      </c>
      <c r="U58" s="159">
        <f>U51+U50+U26+U7+U55+U57</f>
        <v>13660927</v>
      </c>
      <c r="V58" s="159">
        <f t="shared" ref="V58" si="34">V51+V50+V26+V7+V55+V57</f>
        <v>2206387536</v>
      </c>
    </row>
    <row r="59" spans="1:22" s="43" customFormat="1" ht="21.75" customHeight="1" x14ac:dyDescent="0.25">
      <c r="A59" s="24">
        <v>55</v>
      </c>
      <c r="B59" s="74"/>
      <c r="C59" s="75"/>
      <c r="D59" s="75"/>
      <c r="E59" s="75" t="s">
        <v>175</v>
      </c>
      <c r="F59" s="75"/>
      <c r="G59" s="48" t="e">
        <f t="shared" ref="G59:L59" si="35">G58</f>
        <v>#REF!</v>
      </c>
      <c r="H59" s="73" t="e">
        <f t="shared" si="35"/>
        <v>#REF!</v>
      </c>
      <c r="I59" s="73" t="e">
        <f t="shared" si="35"/>
        <v>#REF!</v>
      </c>
      <c r="J59" s="71" t="e">
        <f t="shared" si="35"/>
        <v>#REF!</v>
      </c>
      <c r="K59" s="71" t="e">
        <f t="shared" si="35"/>
        <v>#REF!</v>
      </c>
      <c r="L59" s="71" t="e">
        <f t="shared" si="35"/>
        <v>#REF!</v>
      </c>
      <c r="M59" s="71" t="e">
        <f t="shared" ref="M59:S59" si="36">M58</f>
        <v>#REF!</v>
      </c>
      <c r="N59" s="71" t="e">
        <f t="shared" si="36"/>
        <v>#REF!</v>
      </c>
      <c r="O59" s="71" t="e">
        <f t="shared" si="36"/>
        <v>#REF!</v>
      </c>
      <c r="P59" s="122" t="e">
        <f t="shared" si="36"/>
        <v>#REF!</v>
      </c>
      <c r="Q59" s="122">
        <f>Q58</f>
        <v>1428691246</v>
      </c>
      <c r="R59" s="122">
        <f t="shared" ref="R59" si="37">R58</f>
        <v>1519819610</v>
      </c>
      <c r="S59" s="122">
        <f t="shared" si="36"/>
        <v>1843834136</v>
      </c>
      <c r="T59" s="169">
        <f t="shared" ref="T59:V59" si="38">T58</f>
        <v>2192726609</v>
      </c>
      <c r="U59" s="169">
        <f t="shared" si="38"/>
        <v>13660927</v>
      </c>
      <c r="V59" s="169">
        <f t="shared" si="38"/>
        <v>2206387536</v>
      </c>
    </row>
    <row r="60" spans="1:22" ht="40.5" hidden="1" customHeight="1" x14ac:dyDescent="0.25">
      <c r="B60" s="302"/>
      <c r="C60" s="302"/>
      <c r="D60" s="302"/>
      <c r="E60" s="302"/>
      <c r="F60" s="302"/>
      <c r="G60" s="302"/>
      <c r="H60" s="302"/>
      <c r="I60" s="302"/>
      <c r="J60" s="302"/>
      <c r="K60" s="302"/>
      <c r="L60" s="302"/>
    </row>
    <row r="61" spans="1:22" x14ac:dyDescent="0.25">
      <c r="A61" s="255"/>
      <c r="E61" s="76"/>
      <c r="F61" s="76"/>
      <c r="G61" s="76"/>
      <c r="H61" s="76"/>
      <c r="I61" s="77"/>
      <c r="J61" s="76"/>
    </row>
    <row r="62" spans="1:22" x14ac:dyDescent="0.25">
      <c r="A62" s="255"/>
      <c r="E62" s="76"/>
      <c r="F62" s="76"/>
      <c r="G62" s="76"/>
      <c r="H62" s="76"/>
      <c r="I62" s="77"/>
      <c r="J62" s="76"/>
      <c r="K62" s="41"/>
      <c r="O62" t="s">
        <v>286</v>
      </c>
      <c r="P62" s="41" t="e">
        <f>P59/1000-'Bevételek 1m'!P162</f>
        <v>#REF!</v>
      </c>
      <c r="Q62" s="41">
        <f>Q59/1000-'Bevételek 1m'!Q162</f>
        <v>0.24600000004284084</v>
      </c>
      <c r="R62" s="41">
        <f>R59/1000-'Bevételek 1m'!R162</f>
        <v>-150021.3899999999</v>
      </c>
      <c r="S62" s="41">
        <f>S59/1000-'Bevételek 1m'!S162</f>
        <v>0.13599999994039536</v>
      </c>
      <c r="T62" s="41">
        <f>T59/1000-'Bevételek 1m'!T162</f>
        <v>-0.39099999982863665</v>
      </c>
      <c r="U62" s="41">
        <f>U59/1000-'Bevételek 1m'!U162</f>
        <v>-7.3000000000320142E-2</v>
      </c>
      <c r="V62" s="41">
        <f>V59/1000-'Bevételek 1m'!V162</f>
        <v>-0.4640000001527369</v>
      </c>
    </row>
    <row r="64" spans="1:22" x14ac:dyDescent="0.25">
      <c r="K64" s="41"/>
    </row>
  </sheetData>
  <mergeCells count="39">
    <mergeCell ref="A3:V3"/>
    <mergeCell ref="E7:F7"/>
    <mergeCell ref="E8:F8"/>
    <mergeCell ref="E10:F10"/>
    <mergeCell ref="E11:F11"/>
    <mergeCell ref="E12:F12"/>
    <mergeCell ref="E30:F30"/>
    <mergeCell ref="E9:F9"/>
    <mergeCell ref="E16:F16"/>
    <mergeCell ref="E22:F22"/>
    <mergeCell ref="E26:F26"/>
    <mergeCell ref="E28:F28"/>
    <mergeCell ref="E29:F29"/>
    <mergeCell ref="E39:F39"/>
    <mergeCell ref="E40:F40"/>
    <mergeCell ref="E41:F41"/>
    <mergeCell ref="E42:F42"/>
    <mergeCell ref="E31:F31"/>
    <mergeCell ref="E34:F34"/>
    <mergeCell ref="E35:F35"/>
    <mergeCell ref="E36:F36"/>
    <mergeCell ref="E37:F37"/>
    <mergeCell ref="E38:F38"/>
    <mergeCell ref="A1:Q1"/>
    <mergeCell ref="B60:L60"/>
    <mergeCell ref="E56:F56"/>
    <mergeCell ref="E6:F6"/>
    <mergeCell ref="D55:F55"/>
    <mergeCell ref="D57:F57"/>
    <mergeCell ref="E53:F53"/>
    <mergeCell ref="E54:F54"/>
    <mergeCell ref="E44:F44"/>
    <mergeCell ref="E45:F45"/>
    <mergeCell ref="E50:F50"/>
    <mergeCell ref="E51:F51"/>
    <mergeCell ref="E52:F52"/>
    <mergeCell ref="E43:F43"/>
    <mergeCell ref="E32:F32"/>
    <mergeCell ref="E33:F33"/>
  </mergeCells>
  <phoneticPr fontId="14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7" fitToHeight="0" orientation="portrait" r:id="rId1"/>
  <headerFooter>
    <oddFooter>&amp;P. oldal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U47"/>
  <sheetViews>
    <sheetView view="pageBreakPreview" zoomScaleNormal="100" zoomScaleSheetLayoutView="100" workbookViewId="0">
      <selection sqref="A1:P1"/>
    </sheetView>
  </sheetViews>
  <sheetFormatPr defaultColWidth="9.140625" defaultRowHeight="15" x14ac:dyDescent="0.25"/>
  <cols>
    <col min="1" max="1" width="9.140625" style="139"/>
    <col min="2" max="2" width="6.85546875" style="140" customWidth="1"/>
    <col min="3" max="3" width="12.140625" style="139" hidden="1" customWidth="1"/>
    <col min="4" max="4" width="65.42578125" style="139" customWidth="1"/>
    <col min="5" max="5" width="15.42578125" style="139" hidden="1" customWidth="1"/>
    <col min="6" max="6" width="18.42578125" style="139" hidden="1" customWidth="1"/>
    <col min="7" max="7" width="16.42578125" style="139" hidden="1" customWidth="1"/>
    <col min="8" max="8" width="13.85546875" style="142" hidden="1" customWidth="1"/>
    <col min="9" max="9" width="15.140625" style="139" hidden="1" customWidth="1"/>
    <col min="10" max="10" width="3.42578125" style="139" hidden="1" customWidth="1"/>
    <col min="11" max="11" width="16.42578125" style="141" hidden="1" customWidth="1"/>
    <col min="12" max="12" width="13" style="139" hidden="1" customWidth="1"/>
    <col min="13" max="13" width="16.42578125" style="141" hidden="1" customWidth="1"/>
    <col min="14" max="14" width="18" style="139" hidden="1" customWidth="1"/>
    <col min="15" max="17" width="20" style="139" hidden="1" customWidth="1"/>
    <col min="18" max="19" width="20" style="139" customWidth="1"/>
    <col min="20" max="20" width="15.7109375" style="139" customWidth="1"/>
    <col min="21" max="21" width="15.42578125" style="139" customWidth="1"/>
    <col min="22" max="16384" width="9.140625" style="139"/>
  </cols>
  <sheetData>
    <row r="1" spans="1:21" ht="14.25" customHeight="1" x14ac:dyDescent="0.25">
      <c r="A1" s="347" t="s">
        <v>415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21" x14ac:dyDescent="0.25">
      <c r="D2" s="141"/>
    </row>
    <row r="3" spans="1:21" ht="34.35" customHeight="1" x14ac:dyDescent="0.3">
      <c r="A3" s="335" t="s">
        <v>371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</row>
    <row r="4" spans="1:21" x14ac:dyDescent="0.25">
      <c r="B4" s="143"/>
      <c r="C4" s="143"/>
      <c r="D4" s="143"/>
    </row>
    <row r="5" spans="1:21" ht="14.25" customHeight="1" x14ac:dyDescent="0.25">
      <c r="R5" s="141"/>
      <c r="S5" s="141"/>
      <c r="T5" s="141"/>
      <c r="U5" s="141" t="s">
        <v>56</v>
      </c>
    </row>
    <row r="6" spans="1:21" ht="14.25" customHeight="1" x14ac:dyDescent="0.25">
      <c r="A6" s="13"/>
      <c r="B6" s="144" t="s">
        <v>272</v>
      </c>
      <c r="C6" s="145"/>
      <c r="D6" s="145" t="s">
        <v>273</v>
      </c>
      <c r="E6" s="145"/>
      <c r="F6" s="145"/>
      <c r="G6" s="145"/>
      <c r="H6" s="146"/>
      <c r="I6" s="145"/>
      <c r="J6" s="145"/>
      <c r="K6" s="145"/>
      <c r="L6" s="145"/>
      <c r="M6" s="145"/>
      <c r="N6" s="145" t="s">
        <v>274</v>
      </c>
      <c r="O6" s="145" t="s">
        <v>274</v>
      </c>
      <c r="P6" s="145" t="s">
        <v>274</v>
      </c>
      <c r="Q6" s="145" t="s">
        <v>275</v>
      </c>
      <c r="R6" s="145" t="s">
        <v>274</v>
      </c>
      <c r="S6" s="145" t="s">
        <v>275</v>
      </c>
      <c r="T6" s="145" t="s">
        <v>312</v>
      </c>
      <c r="U6" s="145" t="s">
        <v>277</v>
      </c>
    </row>
    <row r="7" spans="1:21" s="147" customFormat="1" ht="14.25" customHeight="1" x14ac:dyDescent="0.25">
      <c r="A7" s="348">
        <v>1</v>
      </c>
      <c r="B7" s="342" t="s">
        <v>57</v>
      </c>
      <c r="C7" s="343" t="s">
        <v>55</v>
      </c>
      <c r="D7" s="343"/>
      <c r="E7" s="339" t="s">
        <v>104</v>
      </c>
      <c r="F7" s="344" t="s">
        <v>113</v>
      </c>
      <c r="G7" s="339" t="s">
        <v>109</v>
      </c>
      <c r="H7" s="339" t="s">
        <v>111</v>
      </c>
      <c r="I7" s="339" t="s">
        <v>256</v>
      </c>
      <c r="J7" s="339" t="s">
        <v>111</v>
      </c>
      <c r="K7" s="339" t="s">
        <v>257</v>
      </c>
      <c r="L7" s="339" t="s">
        <v>111</v>
      </c>
      <c r="M7" s="336" t="s">
        <v>262</v>
      </c>
      <c r="N7" s="339" t="s">
        <v>309</v>
      </c>
      <c r="O7" s="339" t="s">
        <v>311</v>
      </c>
      <c r="P7" s="339" t="s">
        <v>327</v>
      </c>
      <c r="Q7" s="339" t="s">
        <v>343</v>
      </c>
      <c r="R7" s="339" t="s">
        <v>370</v>
      </c>
      <c r="S7" s="332" t="s">
        <v>385</v>
      </c>
      <c r="T7" s="332" t="s">
        <v>111</v>
      </c>
      <c r="U7" s="332" t="s">
        <v>384</v>
      </c>
    </row>
    <row r="8" spans="1:21" s="147" customFormat="1" ht="14.25" customHeight="1" x14ac:dyDescent="0.25">
      <c r="A8" s="349"/>
      <c r="B8" s="342"/>
      <c r="C8" s="343"/>
      <c r="D8" s="343"/>
      <c r="E8" s="340"/>
      <c r="F8" s="345"/>
      <c r="G8" s="340"/>
      <c r="H8" s="340"/>
      <c r="I8" s="340"/>
      <c r="J8" s="340"/>
      <c r="K8" s="340"/>
      <c r="L8" s="340"/>
      <c r="M8" s="337"/>
      <c r="N8" s="340"/>
      <c r="O8" s="340"/>
      <c r="P8" s="340"/>
      <c r="Q8" s="340"/>
      <c r="R8" s="340"/>
      <c r="S8" s="333"/>
      <c r="T8" s="333"/>
      <c r="U8" s="333"/>
    </row>
    <row r="9" spans="1:21" s="147" customFormat="1" ht="60" customHeight="1" x14ac:dyDescent="0.25">
      <c r="A9" s="350"/>
      <c r="B9" s="342"/>
      <c r="C9" s="343"/>
      <c r="D9" s="343"/>
      <c r="E9" s="341"/>
      <c r="F9" s="346"/>
      <c r="G9" s="341"/>
      <c r="H9" s="341"/>
      <c r="I9" s="341"/>
      <c r="J9" s="341"/>
      <c r="K9" s="341"/>
      <c r="L9" s="341"/>
      <c r="M9" s="338"/>
      <c r="N9" s="341"/>
      <c r="O9" s="341"/>
      <c r="P9" s="341"/>
      <c r="Q9" s="341"/>
      <c r="R9" s="341"/>
      <c r="S9" s="334"/>
      <c r="T9" s="334"/>
      <c r="U9" s="334"/>
    </row>
    <row r="10" spans="1:21" ht="14.25" hidden="1" customHeight="1" x14ac:dyDescent="0.25">
      <c r="A10" s="13"/>
      <c r="B10" s="148">
        <v>1</v>
      </c>
      <c r="C10" s="149"/>
      <c r="D10" s="150"/>
      <c r="E10" s="151"/>
      <c r="F10" s="152"/>
      <c r="G10" s="13"/>
      <c r="H10" s="14"/>
      <c r="I10" s="13"/>
      <c r="N10" s="13"/>
      <c r="O10" s="13"/>
      <c r="P10" s="13"/>
      <c r="Q10" s="13"/>
      <c r="R10" s="13"/>
      <c r="S10" s="13"/>
      <c r="T10" s="13"/>
      <c r="U10" s="13"/>
    </row>
    <row r="11" spans="1:21" ht="14.25" hidden="1" customHeight="1" x14ac:dyDescent="0.25">
      <c r="A11" s="13"/>
      <c r="B11" s="153">
        <v>2</v>
      </c>
      <c r="C11" s="13"/>
      <c r="D11" s="55"/>
      <c r="E11" s="151"/>
      <c r="F11" s="151"/>
      <c r="G11" s="13"/>
      <c r="H11" s="14"/>
      <c r="I11" s="13"/>
      <c r="N11" s="13"/>
      <c r="O11" s="13"/>
      <c r="P11" s="13"/>
      <c r="Q11" s="13"/>
      <c r="R11" s="13"/>
      <c r="S11" s="13"/>
      <c r="T11" s="13"/>
      <c r="U11" s="13"/>
    </row>
    <row r="12" spans="1:21" ht="14.25" hidden="1" customHeight="1" x14ac:dyDescent="0.25">
      <c r="A12" s="13"/>
      <c r="B12" s="148">
        <v>3</v>
      </c>
      <c r="C12" s="13"/>
      <c r="D12" s="55"/>
      <c r="E12" s="151"/>
      <c r="F12" s="151"/>
      <c r="G12" s="13"/>
      <c r="H12" s="14"/>
      <c r="I12" s="13"/>
      <c r="N12" s="13"/>
      <c r="O12" s="13"/>
      <c r="P12" s="13"/>
      <c r="Q12" s="13"/>
      <c r="R12" s="13"/>
      <c r="S12" s="13"/>
      <c r="T12" s="13"/>
      <c r="U12" s="13"/>
    </row>
    <row r="13" spans="1:21" ht="14.25" hidden="1" customHeight="1" x14ac:dyDescent="0.25">
      <c r="A13" s="13"/>
      <c r="B13" s="153">
        <v>4</v>
      </c>
      <c r="C13" s="13"/>
      <c r="D13" s="154"/>
      <c r="E13" s="151"/>
      <c r="F13" s="151"/>
      <c r="G13" s="13"/>
      <c r="H13" s="14"/>
      <c r="I13" s="13"/>
      <c r="N13" s="13"/>
      <c r="O13" s="13"/>
      <c r="P13" s="13"/>
      <c r="Q13" s="13"/>
      <c r="R13" s="13"/>
      <c r="S13" s="13"/>
      <c r="T13" s="13"/>
      <c r="U13" s="13"/>
    </row>
    <row r="14" spans="1:21" ht="39.75" customHeight="1" x14ac:dyDescent="0.25">
      <c r="A14" s="155">
        <v>2</v>
      </c>
      <c r="B14" s="153" t="s">
        <v>72</v>
      </c>
      <c r="C14" s="13"/>
      <c r="D14" s="156" t="s">
        <v>293</v>
      </c>
      <c r="E14" s="14">
        <v>5705</v>
      </c>
      <c r="F14" s="14">
        <v>2941</v>
      </c>
      <c r="G14" s="57">
        <v>3950</v>
      </c>
      <c r="H14" s="14">
        <v>0</v>
      </c>
      <c r="I14" s="14">
        <f t="shared" ref="I14" si="0">G14</f>
        <v>3950</v>
      </c>
      <c r="J14" s="14">
        <v>16837</v>
      </c>
      <c r="K14" s="14">
        <f t="shared" ref="K14:K20" si="1">I14+J14</f>
        <v>20787</v>
      </c>
      <c r="L14" s="14">
        <v>7927</v>
      </c>
      <c r="M14" s="157">
        <f t="shared" ref="M14:M20" si="2">K14+L14</f>
        <v>28714</v>
      </c>
      <c r="N14" s="14">
        <v>9709</v>
      </c>
      <c r="O14" s="14">
        <v>16985</v>
      </c>
      <c r="P14" s="14">
        <v>12000</v>
      </c>
      <c r="Q14" s="14">
        <v>26000</v>
      </c>
      <c r="R14" s="14">
        <v>4000</v>
      </c>
      <c r="S14" s="14">
        <v>0</v>
      </c>
      <c r="T14" s="14">
        <v>0</v>
      </c>
      <c r="U14" s="14">
        <f>SUM(S14:T14)</f>
        <v>0</v>
      </c>
    </row>
    <row r="15" spans="1:21" ht="20.100000000000001" customHeight="1" x14ac:dyDescent="0.25">
      <c r="A15" s="155">
        <v>3</v>
      </c>
      <c r="B15" s="153" t="s">
        <v>73</v>
      </c>
      <c r="C15" s="13"/>
      <c r="D15" s="55" t="s">
        <v>331</v>
      </c>
      <c r="E15" s="14">
        <v>3332</v>
      </c>
      <c r="F15" s="14">
        <v>3332</v>
      </c>
      <c r="G15" s="57">
        <v>34397</v>
      </c>
      <c r="H15" s="14">
        <v>0</v>
      </c>
      <c r="I15" s="14">
        <f>G15</f>
        <v>34397</v>
      </c>
      <c r="J15" s="14">
        <v>-7421</v>
      </c>
      <c r="K15" s="14">
        <f t="shared" si="1"/>
        <v>26976</v>
      </c>
      <c r="L15" s="14"/>
      <c r="M15" s="157">
        <f t="shared" si="2"/>
        <v>26976</v>
      </c>
      <c r="N15" s="14">
        <v>1426</v>
      </c>
      <c r="O15" s="14">
        <v>0</v>
      </c>
      <c r="P15" s="14">
        <v>15000</v>
      </c>
      <c r="Q15" s="14">
        <v>4445</v>
      </c>
      <c r="R15" s="14">
        <v>0</v>
      </c>
      <c r="S15" s="14">
        <v>250</v>
      </c>
      <c r="T15" s="14">
        <v>0</v>
      </c>
      <c r="U15" s="14">
        <f t="shared" ref="U15:U34" si="3">SUM(S15:T15)</f>
        <v>250</v>
      </c>
    </row>
    <row r="16" spans="1:21" ht="30" x14ac:dyDescent="0.25">
      <c r="A16" s="155">
        <v>4</v>
      </c>
      <c r="B16" s="153" t="s">
        <v>74</v>
      </c>
      <c r="C16" s="13"/>
      <c r="D16" s="156" t="s">
        <v>389</v>
      </c>
      <c r="E16" s="14">
        <v>0</v>
      </c>
      <c r="F16" s="14">
        <v>218452</v>
      </c>
      <c r="G16" s="57">
        <v>210279</v>
      </c>
      <c r="H16" s="14">
        <v>-12674</v>
      </c>
      <c r="I16" s="14">
        <f>G16+H16</f>
        <v>197605</v>
      </c>
      <c r="J16" s="14">
        <f>-19956-20000</f>
        <v>-39956</v>
      </c>
      <c r="K16" s="14">
        <f t="shared" si="1"/>
        <v>157649</v>
      </c>
      <c r="L16" s="14"/>
      <c r="M16" s="157">
        <f t="shared" si="2"/>
        <v>157649</v>
      </c>
      <c r="N16" s="14">
        <v>95272</v>
      </c>
      <c r="O16" s="14">
        <v>99308</v>
      </c>
      <c r="P16" s="14">
        <v>4700</v>
      </c>
      <c r="Q16" s="14">
        <v>0</v>
      </c>
      <c r="R16" s="14">
        <v>0</v>
      </c>
      <c r="S16" s="14">
        <v>40053</v>
      </c>
      <c r="T16" s="14">
        <v>0</v>
      </c>
      <c r="U16" s="14">
        <f t="shared" si="3"/>
        <v>40053</v>
      </c>
    </row>
    <row r="17" spans="1:21" ht="20.100000000000001" customHeight="1" x14ac:dyDescent="0.25">
      <c r="A17" s="155">
        <v>5</v>
      </c>
      <c r="B17" s="153" t="s">
        <v>75</v>
      </c>
      <c r="C17" s="13"/>
      <c r="D17" s="156" t="s">
        <v>378</v>
      </c>
      <c r="E17" s="14">
        <v>0</v>
      </c>
      <c r="F17" s="14">
        <v>123007</v>
      </c>
      <c r="G17" s="57">
        <v>103675</v>
      </c>
      <c r="H17" s="14">
        <v>0</v>
      </c>
      <c r="I17" s="14">
        <f>G17</f>
        <v>103675</v>
      </c>
      <c r="J17" s="14">
        <v>0</v>
      </c>
      <c r="K17" s="14">
        <f t="shared" si="1"/>
        <v>103675</v>
      </c>
      <c r="L17" s="14"/>
      <c r="M17" s="157">
        <f t="shared" si="2"/>
        <v>103675</v>
      </c>
      <c r="N17" s="14">
        <v>20564</v>
      </c>
      <c r="O17" s="14">
        <v>0</v>
      </c>
      <c r="P17" s="14">
        <v>49500</v>
      </c>
      <c r="Q17" s="14">
        <v>30000</v>
      </c>
      <c r="R17" s="14">
        <v>0</v>
      </c>
      <c r="S17" s="14">
        <v>130100</v>
      </c>
      <c r="T17" s="14">
        <v>-22482</v>
      </c>
      <c r="U17" s="14">
        <f t="shared" si="3"/>
        <v>107618</v>
      </c>
    </row>
    <row r="18" spans="1:21" ht="30" x14ac:dyDescent="0.25">
      <c r="A18" s="155">
        <v>6</v>
      </c>
      <c r="B18" s="153" t="s">
        <v>76</v>
      </c>
      <c r="C18" s="13"/>
      <c r="D18" s="156" t="s">
        <v>390</v>
      </c>
      <c r="E18" s="14"/>
      <c r="F18" s="14"/>
      <c r="G18" s="57"/>
      <c r="H18" s="14"/>
      <c r="I18" s="14"/>
      <c r="J18" s="14"/>
      <c r="K18" s="14"/>
      <c r="L18" s="14"/>
      <c r="M18" s="157"/>
      <c r="N18" s="14"/>
      <c r="O18" s="14"/>
      <c r="P18" s="14"/>
      <c r="Q18" s="14"/>
      <c r="R18" s="14">
        <v>0</v>
      </c>
      <c r="S18" s="14">
        <v>0</v>
      </c>
      <c r="T18" s="14">
        <v>30000</v>
      </c>
      <c r="U18" s="14">
        <f t="shared" si="3"/>
        <v>30000</v>
      </c>
    </row>
    <row r="19" spans="1:21" ht="20.100000000000001" customHeight="1" x14ac:dyDescent="0.25">
      <c r="A19" s="155">
        <v>7</v>
      </c>
      <c r="B19" s="153" t="s">
        <v>77</v>
      </c>
      <c r="C19" s="13"/>
      <c r="D19" s="55" t="s">
        <v>380</v>
      </c>
      <c r="E19" s="14"/>
      <c r="F19" s="14"/>
      <c r="G19" s="57"/>
      <c r="H19" s="14"/>
      <c r="I19" s="14"/>
      <c r="J19" s="14"/>
      <c r="K19" s="14"/>
      <c r="L19" s="14"/>
      <c r="M19" s="157"/>
      <c r="N19" s="14"/>
      <c r="O19" s="14">
        <v>171198</v>
      </c>
      <c r="P19" s="14">
        <v>263672</v>
      </c>
      <c r="Q19" s="14">
        <v>304978</v>
      </c>
      <c r="R19" s="14">
        <v>0</v>
      </c>
      <c r="S19" s="14">
        <v>18205</v>
      </c>
      <c r="T19" s="14">
        <v>0</v>
      </c>
      <c r="U19" s="14">
        <f t="shared" si="3"/>
        <v>18205</v>
      </c>
    </row>
    <row r="20" spans="1:21" ht="20.100000000000001" customHeight="1" x14ac:dyDescent="0.25">
      <c r="A20" s="155">
        <v>8</v>
      </c>
      <c r="B20" s="153" t="s">
        <v>78</v>
      </c>
      <c r="C20" s="13"/>
      <c r="D20" s="55" t="s">
        <v>394</v>
      </c>
      <c r="E20" s="14">
        <v>0</v>
      </c>
      <c r="F20" s="14">
        <v>0</v>
      </c>
      <c r="G20" s="57">
        <v>49074</v>
      </c>
      <c r="H20" s="14">
        <v>0</v>
      </c>
      <c r="I20" s="14">
        <f>G20</f>
        <v>49074</v>
      </c>
      <c r="J20" s="14">
        <v>-49074</v>
      </c>
      <c r="K20" s="14">
        <f t="shared" si="1"/>
        <v>0</v>
      </c>
      <c r="L20" s="14"/>
      <c r="M20" s="157">
        <f t="shared" si="2"/>
        <v>0</v>
      </c>
      <c r="N20" s="14">
        <v>83476</v>
      </c>
      <c r="O20" s="14">
        <v>0</v>
      </c>
      <c r="P20" s="14">
        <v>57150</v>
      </c>
      <c r="Q20" s="14">
        <v>0</v>
      </c>
      <c r="R20" s="14">
        <v>10000</v>
      </c>
      <c r="S20" s="14">
        <v>0</v>
      </c>
      <c r="T20" s="14">
        <v>2570</v>
      </c>
      <c r="U20" s="14">
        <f t="shared" si="3"/>
        <v>2570</v>
      </c>
    </row>
    <row r="21" spans="1:21" ht="20.100000000000001" customHeight="1" x14ac:dyDescent="0.25">
      <c r="A21" s="155">
        <v>9</v>
      </c>
      <c r="B21" s="153" t="s">
        <v>79</v>
      </c>
      <c r="C21" s="13"/>
      <c r="D21" s="156" t="s">
        <v>320</v>
      </c>
      <c r="E21" s="14"/>
      <c r="F21" s="14"/>
      <c r="G21" s="57"/>
      <c r="H21" s="14"/>
      <c r="I21" s="14"/>
      <c r="J21" s="14"/>
      <c r="K21" s="14"/>
      <c r="L21" s="14"/>
      <c r="M21" s="157"/>
      <c r="N21" s="14">
        <v>10000</v>
      </c>
      <c r="O21" s="14">
        <v>0</v>
      </c>
      <c r="P21" s="14">
        <v>4000</v>
      </c>
      <c r="Q21" s="14">
        <v>0</v>
      </c>
      <c r="R21" s="14">
        <v>0</v>
      </c>
      <c r="S21" s="14">
        <v>3000</v>
      </c>
      <c r="T21" s="14">
        <v>0</v>
      </c>
      <c r="U21" s="14">
        <f t="shared" si="3"/>
        <v>3000</v>
      </c>
    </row>
    <row r="22" spans="1:21" ht="20.100000000000001" customHeight="1" x14ac:dyDescent="0.25">
      <c r="A22" s="155">
        <v>10</v>
      </c>
      <c r="B22" s="153" t="s">
        <v>80</v>
      </c>
      <c r="C22" s="13"/>
      <c r="D22" s="156" t="s">
        <v>333</v>
      </c>
      <c r="E22" s="14"/>
      <c r="F22" s="14"/>
      <c r="G22" s="57"/>
      <c r="H22" s="14"/>
      <c r="I22" s="14"/>
      <c r="J22" s="14"/>
      <c r="K22" s="14"/>
      <c r="L22" s="14"/>
      <c r="M22" s="157"/>
      <c r="N22" s="14">
        <v>16633</v>
      </c>
      <c r="O22" s="14">
        <v>0</v>
      </c>
      <c r="P22" s="14">
        <v>0</v>
      </c>
      <c r="Q22" s="14">
        <v>5000</v>
      </c>
      <c r="R22" s="14">
        <v>0</v>
      </c>
      <c r="S22" s="14">
        <v>2500</v>
      </c>
      <c r="T22" s="14">
        <v>0</v>
      </c>
      <c r="U22" s="14">
        <f t="shared" si="3"/>
        <v>2500</v>
      </c>
    </row>
    <row r="23" spans="1:21" ht="20.100000000000001" customHeight="1" x14ac:dyDescent="0.25">
      <c r="A23" s="155">
        <v>11</v>
      </c>
      <c r="B23" s="153" t="s">
        <v>81</v>
      </c>
      <c r="C23" s="13"/>
      <c r="D23" s="156" t="s">
        <v>350</v>
      </c>
      <c r="E23" s="14"/>
      <c r="F23" s="14"/>
      <c r="G23" s="57"/>
      <c r="H23" s="14"/>
      <c r="I23" s="14"/>
      <c r="J23" s="14"/>
      <c r="K23" s="14"/>
      <c r="L23" s="14"/>
      <c r="M23" s="157"/>
      <c r="N23" s="14">
        <v>2000</v>
      </c>
      <c r="O23" s="14">
        <v>0</v>
      </c>
      <c r="P23" s="14">
        <v>5000</v>
      </c>
      <c r="Q23" s="14">
        <v>0</v>
      </c>
      <c r="R23" s="14">
        <v>15000</v>
      </c>
      <c r="S23" s="14">
        <v>0</v>
      </c>
      <c r="T23" s="14">
        <v>0</v>
      </c>
      <c r="U23" s="14">
        <f t="shared" si="3"/>
        <v>0</v>
      </c>
    </row>
    <row r="24" spans="1:21" ht="20.100000000000001" customHeight="1" x14ac:dyDescent="0.25">
      <c r="A24" s="155">
        <v>12</v>
      </c>
      <c r="B24" s="153" t="s">
        <v>82</v>
      </c>
      <c r="C24" s="13"/>
      <c r="D24" s="156" t="s">
        <v>409</v>
      </c>
      <c r="E24" s="14"/>
      <c r="F24" s="14"/>
      <c r="G24" s="57"/>
      <c r="H24" s="14"/>
      <c r="I24" s="14"/>
      <c r="J24" s="14"/>
      <c r="K24" s="14"/>
      <c r="L24" s="14"/>
      <c r="M24" s="157"/>
      <c r="N24" s="14"/>
      <c r="O24" s="14"/>
      <c r="P24" s="14"/>
      <c r="Q24" s="14"/>
      <c r="R24" s="14">
        <v>0</v>
      </c>
      <c r="S24" s="14">
        <v>0</v>
      </c>
      <c r="T24" s="14">
        <v>2500</v>
      </c>
      <c r="U24" s="14">
        <f t="shared" si="3"/>
        <v>2500</v>
      </c>
    </row>
    <row r="25" spans="1:21" ht="20.100000000000001" customHeight="1" x14ac:dyDescent="0.25">
      <c r="A25" s="155">
        <v>13</v>
      </c>
      <c r="B25" s="153" t="s">
        <v>83</v>
      </c>
      <c r="C25" s="13"/>
      <c r="D25" s="156" t="s">
        <v>351</v>
      </c>
      <c r="E25" s="14"/>
      <c r="F25" s="14"/>
      <c r="G25" s="57"/>
      <c r="H25" s="14"/>
      <c r="I25" s="14"/>
      <c r="J25" s="14"/>
      <c r="K25" s="14"/>
      <c r="L25" s="14"/>
      <c r="M25" s="157"/>
      <c r="N25" s="14">
        <v>10000</v>
      </c>
      <c r="O25" s="14">
        <v>0</v>
      </c>
      <c r="P25" s="14">
        <v>4000</v>
      </c>
      <c r="Q25" s="14">
        <v>0</v>
      </c>
      <c r="R25" s="14">
        <v>6000</v>
      </c>
      <c r="S25" s="14">
        <v>10000</v>
      </c>
      <c r="T25" s="14">
        <v>0</v>
      </c>
      <c r="U25" s="14">
        <f t="shared" si="3"/>
        <v>10000</v>
      </c>
    </row>
    <row r="26" spans="1:21" ht="20.100000000000001" customHeight="1" x14ac:dyDescent="0.25">
      <c r="A26" s="155">
        <v>14</v>
      </c>
      <c r="B26" s="153" t="s">
        <v>84</v>
      </c>
      <c r="C26" s="13"/>
      <c r="D26" s="156" t="s">
        <v>323</v>
      </c>
      <c r="E26" s="14"/>
      <c r="F26" s="14"/>
      <c r="G26" s="57"/>
      <c r="H26" s="14"/>
      <c r="I26" s="14"/>
      <c r="J26" s="14"/>
      <c r="K26" s="14"/>
      <c r="L26" s="14"/>
      <c r="M26" s="157"/>
      <c r="N26" s="14">
        <v>10000</v>
      </c>
      <c r="O26" s="14">
        <v>0</v>
      </c>
      <c r="P26" s="14">
        <v>8500</v>
      </c>
      <c r="Q26" s="14">
        <v>6000</v>
      </c>
      <c r="R26" s="14">
        <v>10000</v>
      </c>
      <c r="S26" s="14">
        <v>45893</v>
      </c>
      <c r="T26" s="14">
        <v>0</v>
      </c>
      <c r="U26" s="14">
        <f t="shared" si="3"/>
        <v>45893</v>
      </c>
    </row>
    <row r="27" spans="1:21" ht="42" customHeight="1" x14ac:dyDescent="0.25">
      <c r="A27" s="155">
        <v>15</v>
      </c>
      <c r="B27" s="153" t="s">
        <v>85</v>
      </c>
      <c r="C27" s="13"/>
      <c r="D27" s="194" t="s">
        <v>352</v>
      </c>
      <c r="E27" s="14"/>
      <c r="F27" s="14"/>
      <c r="G27" s="14"/>
      <c r="H27" s="14"/>
      <c r="I27" s="14"/>
      <c r="J27" s="14"/>
      <c r="K27" s="14"/>
      <c r="L27" s="14"/>
      <c r="M27" s="157"/>
      <c r="N27" s="14">
        <v>0</v>
      </c>
      <c r="O27" s="14">
        <v>3500</v>
      </c>
      <c r="P27" s="14">
        <v>4200</v>
      </c>
      <c r="Q27" s="14">
        <v>0</v>
      </c>
      <c r="R27" s="14">
        <v>250000</v>
      </c>
      <c r="S27" s="14">
        <v>0</v>
      </c>
      <c r="T27" s="14">
        <v>0</v>
      </c>
      <c r="U27" s="14">
        <f t="shared" si="3"/>
        <v>0</v>
      </c>
    </row>
    <row r="28" spans="1:21" ht="24" customHeight="1" x14ac:dyDescent="0.25">
      <c r="A28" s="155">
        <v>16</v>
      </c>
      <c r="B28" s="153" t="s">
        <v>86</v>
      </c>
      <c r="C28" s="13"/>
      <c r="D28" s="156" t="s">
        <v>321</v>
      </c>
      <c r="E28" s="14"/>
      <c r="F28" s="14"/>
      <c r="G28" s="57"/>
      <c r="H28" s="14"/>
      <c r="I28" s="14"/>
      <c r="J28" s="14"/>
      <c r="K28" s="14"/>
      <c r="L28" s="14"/>
      <c r="M28" s="157"/>
      <c r="N28" s="14"/>
      <c r="O28" s="14">
        <v>0</v>
      </c>
      <c r="P28" s="14">
        <v>7279136</v>
      </c>
      <c r="Q28" s="14">
        <f>3564625+105000</f>
        <v>3669625</v>
      </c>
      <c r="R28" s="14">
        <v>2276159</v>
      </c>
      <c r="S28" s="14">
        <v>0</v>
      </c>
      <c r="T28" s="14">
        <v>0</v>
      </c>
      <c r="U28" s="14">
        <f t="shared" si="3"/>
        <v>0</v>
      </c>
    </row>
    <row r="29" spans="1:21" ht="28.5" customHeight="1" x14ac:dyDescent="0.25">
      <c r="A29" s="155">
        <v>17</v>
      </c>
      <c r="B29" s="153" t="s">
        <v>87</v>
      </c>
      <c r="C29" s="13"/>
      <c r="D29" s="156" t="s">
        <v>322</v>
      </c>
      <c r="E29" s="14"/>
      <c r="F29" s="14"/>
      <c r="G29" s="57"/>
      <c r="H29" s="14"/>
      <c r="I29" s="14"/>
      <c r="J29" s="14"/>
      <c r="K29" s="14"/>
      <c r="L29" s="14"/>
      <c r="M29" s="157"/>
      <c r="N29" s="14"/>
      <c r="O29" s="14">
        <v>0</v>
      </c>
      <c r="P29" s="14">
        <v>380000</v>
      </c>
      <c r="Q29" s="14">
        <v>608725</v>
      </c>
      <c r="R29" s="14">
        <v>231116</v>
      </c>
      <c r="S29" s="14">
        <v>0</v>
      </c>
      <c r="T29" s="14">
        <v>0</v>
      </c>
      <c r="U29" s="14">
        <f t="shared" si="3"/>
        <v>0</v>
      </c>
    </row>
    <row r="30" spans="1:21" ht="28.5" customHeight="1" x14ac:dyDescent="0.25">
      <c r="A30" s="155">
        <v>18</v>
      </c>
      <c r="B30" s="153" t="s">
        <v>88</v>
      </c>
      <c r="C30" s="13"/>
      <c r="D30" s="156" t="s">
        <v>360</v>
      </c>
      <c r="E30" s="14"/>
      <c r="F30" s="14"/>
      <c r="G30" s="57"/>
      <c r="H30" s="14"/>
      <c r="I30" s="14"/>
      <c r="J30" s="14"/>
      <c r="K30" s="14"/>
      <c r="L30" s="14"/>
      <c r="M30" s="157"/>
      <c r="N30" s="14"/>
      <c r="O30" s="14">
        <v>0</v>
      </c>
      <c r="P30" s="14">
        <v>9000</v>
      </c>
      <c r="Q30" s="14">
        <v>0</v>
      </c>
      <c r="R30" s="14">
        <f>421829+78740</f>
        <v>500569</v>
      </c>
      <c r="S30" s="14">
        <v>0</v>
      </c>
      <c r="T30" s="14">
        <v>0</v>
      </c>
      <c r="U30" s="14">
        <f t="shared" si="3"/>
        <v>0</v>
      </c>
    </row>
    <row r="31" spans="1:21" ht="28.5" customHeight="1" x14ac:dyDescent="0.25">
      <c r="A31" s="155">
        <v>19</v>
      </c>
      <c r="B31" s="153" t="s">
        <v>89</v>
      </c>
      <c r="C31" s="13"/>
      <c r="D31" s="156" t="s">
        <v>379</v>
      </c>
      <c r="E31" s="14"/>
      <c r="F31" s="14"/>
      <c r="G31" s="57"/>
      <c r="H31" s="14"/>
      <c r="I31" s="14"/>
      <c r="J31" s="14"/>
      <c r="K31" s="14"/>
      <c r="L31" s="14"/>
      <c r="M31" s="157"/>
      <c r="N31" s="14"/>
      <c r="O31" s="14"/>
      <c r="P31" s="14">
        <v>0</v>
      </c>
      <c r="Q31" s="14">
        <v>35026</v>
      </c>
      <c r="R31" s="14">
        <v>12496</v>
      </c>
      <c r="S31" s="14">
        <v>14986</v>
      </c>
      <c r="T31" s="14">
        <v>0</v>
      </c>
      <c r="U31" s="14">
        <f t="shared" si="3"/>
        <v>14986</v>
      </c>
    </row>
    <row r="32" spans="1:21" ht="28.5" customHeight="1" x14ac:dyDescent="0.25">
      <c r="A32" s="155">
        <v>20</v>
      </c>
      <c r="B32" s="153" t="s">
        <v>90</v>
      </c>
      <c r="C32" s="13"/>
      <c r="D32" s="156" t="s">
        <v>332</v>
      </c>
      <c r="E32" s="14"/>
      <c r="F32" s="14"/>
      <c r="G32" s="57"/>
      <c r="H32" s="14"/>
      <c r="I32" s="14"/>
      <c r="J32" s="14"/>
      <c r="K32" s="14"/>
      <c r="L32" s="14"/>
      <c r="M32" s="157"/>
      <c r="N32" s="14"/>
      <c r="O32" s="14">
        <v>0</v>
      </c>
      <c r="P32" s="14">
        <v>5000</v>
      </c>
      <c r="Q32" s="14">
        <v>4410</v>
      </c>
      <c r="R32" s="14">
        <v>4890</v>
      </c>
      <c r="S32" s="14">
        <v>4200</v>
      </c>
      <c r="T32" s="14">
        <v>-2</v>
      </c>
      <c r="U32" s="14">
        <f t="shared" si="3"/>
        <v>4198</v>
      </c>
    </row>
    <row r="33" spans="1:21" ht="28.5" customHeight="1" x14ac:dyDescent="0.25">
      <c r="A33" s="155">
        <v>21</v>
      </c>
      <c r="B33" s="153" t="s">
        <v>91</v>
      </c>
      <c r="C33" s="13"/>
      <c r="D33" s="156" t="s">
        <v>349</v>
      </c>
      <c r="E33" s="14"/>
      <c r="F33" s="14"/>
      <c r="G33" s="57"/>
      <c r="H33" s="14"/>
      <c r="I33" s="14"/>
      <c r="J33" s="14"/>
      <c r="K33" s="14"/>
      <c r="L33" s="14"/>
      <c r="M33" s="157"/>
      <c r="N33" s="14"/>
      <c r="O33" s="14"/>
      <c r="P33" s="14"/>
      <c r="Q33" s="14">
        <v>0</v>
      </c>
      <c r="R33" s="14">
        <v>6477</v>
      </c>
      <c r="S33" s="14">
        <v>2794</v>
      </c>
      <c r="T33" s="14">
        <v>0</v>
      </c>
      <c r="U33" s="14">
        <f t="shared" si="3"/>
        <v>2794</v>
      </c>
    </row>
    <row r="34" spans="1:21" ht="24" customHeight="1" x14ac:dyDescent="0.25">
      <c r="A34" s="155">
        <v>22</v>
      </c>
      <c r="B34" s="153" t="s">
        <v>92</v>
      </c>
      <c r="C34" s="13"/>
      <c r="D34" s="156" t="s">
        <v>294</v>
      </c>
      <c r="E34" s="14"/>
      <c r="F34" s="14"/>
      <c r="G34" s="57"/>
      <c r="H34" s="14"/>
      <c r="I34" s="14"/>
      <c r="J34" s="14"/>
      <c r="K34" s="14"/>
      <c r="L34" s="14"/>
      <c r="M34" s="157"/>
      <c r="N34" s="14">
        <v>0</v>
      </c>
      <c r="O34" s="14">
        <v>2285</v>
      </c>
      <c r="P34" s="14">
        <v>4943</v>
      </c>
      <c r="Q34" s="14">
        <v>1528</v>
      </c>
      <c r="R34" s="14">
        <v>8541</v>
      </c>
      <c r="S34" s="14">
        <v>10022</v>
      </c>
      <c r="T34" s="14">
        <v>0</v>
      </c>
      <c r="U34" s="14">
        <f t="shared" si="3"/>
        <v>10022</v>
      </c>
    </row>
    <row r="35" spans="1:21" ht="22.5" customHeight="1" x14ac:dyDescent="0.25">
      <c r="A35" s="155">
        <v>23</v>
      </c>
      <c r="B35" s="153" t="s">
        <v>95</v>
      </c>
      <c r="C35" s="13"/>
      <c r="D35" s="158" t="s">
        <v>19</v>
      </c>
      <c r="E35" s="49">
        <f t="shared" ref="E35:M35" si="4">SUM(E14:E20)</f>
        <v>9037</v>
      </c>
      <c r="F35" s="49">
        <f t="shared" si="4"/>
        <v>347732</v>
      </c>
      <c r="G35" s="49">
        <f t="shared" si="4"/>
        <v>401375</v>
      </c>
      <c r="H35" s="49">
        <f t="shared" si="4"/>
        <v>-12674</v>
      </c>
      <c r="I35" s="49">
        <f t="shared" si="4"/>
        <v>388701</v>
      </c>
      <c r="J35" s="49">
        <f t="shared" si="4"/>
        <v>-79614</v>
      </c>
      <c r="K35" s="49">
        <f t="shared" si="4"/>
        <v>309087</v>
      </c>
      <c r="L35" s="49">
        <f t="shared" si="4"/>
        <v>7927</v>
      </c>
      <c r="M35" s="96">
        <f t="shared" si="4"/>
        <v>317014</v>
      </c>
      <c r="N35" s="49">
        <f t="shared" ref="N35:S35" si="5">SUM(N14:N34)</f>
        <v>259080</v>
      </c>
      <c r="O35" s="159">
        <f t="shared" si="5"/>
        <v>293276</v>
      </c>
      <c r="P35" s="159">
        <f t="shared" si="5"/>
        <v>8105801</v>
      </c>
      <c r="Q35" s="159">
        <f t="shared" si="5"/>
        <v>4695737</v>
      </c>
      <c r="R35" s="159">
        <f t="shared" si="5"/>
        <v>3335248</v>
      </c>
      <c r="S35" s="159">
        <f t="shared" si="5"/>
        <v>282003</v>
      </c>
      <c r="T35" s="159">
        <f t="shared" ref="T35:U35" si="6">SUM(T14:T34)</f>
        <v>12586</v>
      </c>
      <c r="U35" s="159">
        <f t="shared" si="6"/>
        <v>294589</v>
      </c>
    </row>
    <row r="36" spans="1:21" ht="0.75" customHeight="1" x14ac:dyDescent="0.25">
      <c r="A36" s="13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</row>
    <row r="38" spans="1:21" x14ac:dyDescent="0.25">
      <c r="J38" s="142"/>
      <c r="L38" s="142"/>
      <c r="N38" s="139" t="s">
        <v>278</v>
      </c>
      <c r="O38" s="142">
        <f>O35-'Kiadások 2m'!O151</f>
        <v>-295586</v>
      </c>
      <c r="P38" s="142">
        <f>P35-'Kiadások 2m'!P151</f>
        <v>-141651</v>
      </c>
      <c r="Q38" s="142">
        <f>Q35-'Kiadások 2m'!Q151</f>
        <v>-287740</v>
      </c>
      <c r="R38" s="142">
        <f>R35-'Kiadások 2m'!R151</f>
        <v>0</v>
      </c>
      <c r="S38" s="142">
        <f>S35-'Kiadások 2m'!S151</f>
        <v>0</v>
      </c>
      <c r="T38" s="142">
        <f>T35-'Kiadások 2m'!T151</f>
        <v>0</v>
      </c>
      <c r="U38" s="142">
        <f>U35-'Kiadások 2m'!U151</f>
        <v>0</v>
      </c>
    </row>
    <row r="40" spans="1:21" x14ac:dyDescent="0.25">
      <c r="I40" s="142"/>
    </row>
    <row r="41" spans="1:21" x14ac:dyDescent="0.25">
      <c r="I41" s="142"/>
    </row>
    <row r="47" spans="1:21" x14ac:dyDescent="0.25">
      <c r="J47" s="142"/>
      <c r="L47" s="142"/>
    </row>
  </sheetData>
  <mergeCells count="23">
    <mergeCell ref="A1:P1"/>
    <mergeCell ref="O7:O9"/>
    <mergeCell ref="A7:A9"/>
    <mergeCell ref="R7:R9"/>
    <mergeCell ref="N7:N9"/>
    <mergeCell ref="P7:P9"/>
    <mergeCell ref="Q7:Q9"/>
    <mergeCell ref="T7:T9"/>
    <mergeCell ref="U7:U9"/>
    <mergeCell ref="A3:U3"/>
    <mergeCell ref="B36:L36"/>
    <mergeCell ref="M7:M9"/>
    <mergeCell ref="G7:G9"/>
    <mergeCell ref="H7:H9"/>
    <mergeCell ref="I7:I9"/>
    <mergeCell ref="J7:J9"/>
    <mergeCell ref="K7:K9"/>
    <mergeCell ref="L7:L9"/>
    <mergeCell ref="B7:B9"/>
    <mergeCell ref="C7:D9"/>
    <mergeCell ref="E7:E9"/>
    <mergeCell ref="F7:F9"/>
    <mergeCell ref="S7:S9"/>
  </mergeCells>
  <phoneticPr fontId="14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1" fitToHeight="0" orientation="portrait" r:id="rId1"/>
  <headerFooter>
    <oddFooter>&amp;P. oldal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76"/>
  <sheetViews>
    <sheetView view="pageBreakPreview" zoomScaleNormal="77" zoomScaleSheetLayoutView="100" workbookViewId="0">
      <selection sqref="A1:Q1"/>
    </sheetView>
  </sheetViews>
  <sheetFormatPr defaultColWidth="9.140625" defaultRowHeight="15" x14ac:dyDescent="0.25"/>
  <cols>
    <col min="1" max="1" width="9.140625" style="139"/>
    <col min="2" max="2" width="9.140625" style="140"/>
    <col min="3" max="3" width="52.85546875" style="139" customWidth="1"/>
    <col min="4" max="4" width="15" style="139" hidden="1" customWidth="1"/>
    <col min="5" max="5" width="16.42578125" style="139" hidden="1" customWidth="1"/>
    <col min="6" max="6" width="18" style="139" hidden="1" customWidth="1"/>
    <col min="7" max="7" width="0.140625" style="139" hidden="1" customWidth="1"/>
    <col min="8" max="8" width="16.85546875" style="139" hidden="1" customWidth="1"/>
    <col min="9" max="9" width="13.85546875" style="139" hidden="1" customWidth="1"/>
    <col min="10" max="10" width="15.42578125" style="139" hidden="1" customWidth="1"/>
    <col min="11" max="11" width="14.42578125" style="139" hidden="1" customWidth="1"/>
    <col min="12" max="12" width="17" style="139" hidden="1" customWidth="1"/>
    <col min="13" max="13" width="16.42578125" style="139" hidden="1" customWidth="1"/>
    <col min="14" max="16" width="23.5703125" style="139" hidden="1" customWidth="1"/>
    <col min="17" max="17" width="23.5703125" style="139" customWidth="1"/>
    <col min="18" max="18" width="18" style="139" customWidth="1"/>
    <col min="19" max="19" width="16" style="139" customWidth="1"/>
    <col min="20" max="20" width="20.85546875" style="139" customWidth="1"/>
    <col min="21" max="16384" width="9.140625" style="139"/>
  </cols>
  <sheetData>
    <row r="1" spans="1:20" ht="29.1" customHeight="1" x14ac:dyDescent="0.25">
      <c r="A1" s="347" t="s">
        <v>416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</row>
    <row r="2" spans="1:20" ht="9.6" customHeight="1" x14ac:dyDescent="0.25">
      <c r="B2" s="138"/>
      <c r="C2" s="138"/>
      <c r="D2" s="138"/>
    </row>
    <row r="3" spans="1:20" ht="43.5" customHeight="1" x14ac:dyDescent="0.25">
      <c r="A3" s="370" t="s">
        <v>368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</row>
    <row r="4" spans="1:20" ht="15" customHeight="1" x14ac:dyDescent="0.25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</row>
    <row r="6" spans="1:20" x14ac:dyDescent="0.25">
      <c r="C6" s="141"/>
      <c r="P6" s="141" t="s">
        <v>71</v>
      </c>
      <c r="Q6" s="141"/>
      <c r="R6" s="141" t="s">
        <v>71</v>
      </c>
      <c r="S6" s="141" t="s">
        <v>71</v>
      </c>
      <c r="T6" s="141" t="s">
        <v>56</v>
      </c>
    </row>
    <row r="7" spans="1:20" x14ac:dyDescent="0.25">
      <c r="A7" s="13"/>
      <c r="B7" s="145" t="s">
        <v>272</v>
      </c>
      <c r="C7" s="145" t="s">
        <v>273</v>
      </c>
      <c r="D7" s="145"/>
      <c r="E7" s="145"/>
      <c r="F7" s="145"/>
      <c r="G7" s="145"/>
      <c r="H7" s="145"/>
      <c r="I7" s="145"/>
      <c r="J7" s="145"/>
      <c r="K7" s="145"/>
      <c r="L7" s="145"/>
      <c r="M7" s="145" t="s">
        <v>274</v>
      </c>
      <c r="N7" s="145" t="s">
        <v>274</v>
      </c>
      <c r="O7" s="145" t="s">
        <v>274</v>
      </c>
      <c r="P7" s="145" t="s">
        <v>274</v>
      </c>
      <c r="Q7" s="145" t="s">
        <v>274</v>
      </c>
      <c r="R7" s="145" t="s">
        <v>275</v>
      </c>
      <c r="S7" s="145" t="s">
        <v>312</v>
      </c>
      <c r="T7" s="145" t="s">
        <v>277</v>
      </c>
    </row>
    <row r="8" spans="1:20" ht="14.25" customHeight="1" x14ac:dyDescent="0.25">
      <c r="A8" s="362">
        <v>1</v>
      </c>
      <c r="B8" s="358" t="s">
        <v>58</v>
      </c>
      <c r="C8" s="361" t="s">
        <v>55</v>
      </c>
      <c r="D8" s="343" t="s">
        <v>104</v>
      </c>
      <c r="E8" s="365" t="s">
        <v>113</v>
      </c>
      <c r="F8" s="339" t="s">
        <v>109</v>
      </c>
      <c r="G8" s="358" t="s">
        <v>111</v>
      </c>
      <c r="H8" s="339" t="s">
        <v>115</v>
      </c>
      <c r="I8" s="343" t="s">
        <v>111</v>
      </c>
      <c r="J8" s="343" t="s">
        <v>258</v>
      </c>
      <c r="K8" s="366" t="s">
        <v>111</v>
      </c>
      <c r="L8" s="339" t="s">
        <v>262</v>
      </c>
      <c r="M8" s="339" t="s">
        <v>309</v>
      </c>
      <c r="N8" s="339" t="s">
        <v>311</v>
      </c>
      <c r="O8" s="339" t="s">
        <v>327</v>
      </c>
      <c r="P8" s="339" t="s">
        <v>343</v>
      </c>
      <c r="Q8" s="339" t="s">
        <v>366</v>
      </c>
      <c r="R8" s="332" t="s">
        <v>385</v>
      </c>
      <c r="S8" s="332" t="s">
        <v>111</v>
      </c>
      <c r="T8" s="332" t="s">
        <v>384</v>
      </c>
    </row>
    <row r="9" spans="1:20" ht="14.25" customHeight="1" x14ac:dyDescent="0.25">
      <c r="A9" s="363"/>
      <c r="B9" s="359"/>
      <c r="C9" s="361"/>
      <c r="D9" s="343"/>
      <c r="E9" s="365"/>
      <c r="F9" s="340"/>
      <c r="G9" s="359"/>
      <c r="H9" s="340"/>
      <c r="I9" s="343"/>
      <c r="J9" s="343"/>
      <c r="K9" s="367"/>
      <c r="L9" s="340"/>
      <c r="M9" s="340"/>
      <c r="N9" s="340"/>
      <c r="O9" s="340"/>
      <c r="P9" s="340"/>
      <c r="Q9" s="340"/>
      <c r="R9" s="333"/>
      <c r="S9" s="333"/>
      <c r="T9" s="333"/>
    </row>
    <row r="10" spans="1:20" ht="54.75" customHeight="1" x14ac:dyDescent="0.25">
      <c r="A10" s="364"/>
      <c r="B10" s="360"/>
      <c r="C10" s="361"/>
      <c r="D10" s="343"/>
      <c r="E10" s="365"/>
      <c r="F10" s="341"/>
      <c r="G10" s="360"/>
      <c r="H10" s="341"/>
      <c r="I10" s="343"/>
      <c r="J10" s="343"/>
      <c r="K10" s="368"/>
      <c r="L10" s="341"/>
      <c r="M10" s="341"/>
      <c r="N10" s="341"/>
      <c r="O10" s="341"/>
      <c r="P10" s="341"/>
      <c r="Q10" s="341"/>
      <c r="R10" s="334"/>
      <c r="S10" s="334"/>
      <c r="T10" s="334"/>
    </row>
    <row r="11" spans="1:20" ht="18" customHeight="1" x14ac:dyDescent="0.25">
      <c r="A11" s="172">
        <v>2</v>
      </c>
      <c r="B11" s="173"/>
      <c r="C11" s="174" t="s">
        <v>59</v>
      </c>
      <c r="D11" s="13"/>
      <c r="E11" s="13"/>
      <c r="F11" s="175"/>
      <c r="G11" s="13"/>
      <c r="H11" s="13"/>
      <c r="I11" s="13"/>
      <c r="J11" s="13"/>
      <c r="K11" s="176"/>
      <c r="L11" s="176"/>
      <c r="M11" s="13"/>
      <c r="N11" s="13"/>
      <c r="O11" s="13"/>
      <c r="P11" s="13"/>
      <c r="Q11" s="13"/>
      <c r="R11" s="13"/>
      <c r="S11" s="13"/>
      <c r="T11" s="13"/>
    </row>
    <row r="12" spans="1:20" ht="18" customHeight="1" x14ac:dyDescent="0.25">
      <c r="A12" s="172">
        <v>3</v>
      </c>
      <c r="B12" s="173" t="s">
        <v>72</v>
      </c>
      <c r="C12" s="149" t="s">
        <v>290</v>
      </c>
      <c r="D12" s="57"/>
      <c r="E12" s="14"/>
      <c r="F12" s="14"/>
      <c r="G12" s="14"/>
      <c r="H12" s="13"/>
      <c r="I12" s="13"/>
      <c r="J12" s="177"/>
      <c r="K12" s="14"/>
      <c r="L12" s="14"/>
      <c r="M12" s="14">
        <v>0</v>
      </c>
      <c r="N12" s="14">
        <v>430000</v>
      </c>
      <c r="O12" s="14">
        <v>500000</v>
      </c>
      <c r="P12" s="14">
        <v>500000</v>
      </c>
      <c r="Q12" s="14">
        <v>450000</v>
      </c>
      <c r="R12" s="14">
        <v>520000</v>
      </c>
      <c r="S12" s="14">
        <v>0</v>
      </c>
      <c r="T12" s="14">
        <f>SUM(R12:S12)</f>
        <v>520000</v>
      </c>
    </row>
    <row r="13" spans="1:20" ht="30.75" customHeight="1" x14ac:dyDescent="0.25">
      <c r="A13" s="172"/>
      <c r="B13" s="173" t="s">
        <v>73</v>
      </c>
      <c r="C13" s="149" t="s">
        <v>369</v>
      </c>
      <c r="D13" s="57"/>
      <c r="E13" s="14"/>
      <c r="F13" s="14"/>
      <c r="G13" s="14"/>
      <c r="H13" s="13"/>
      <c r="I13" s="13"/>
      <c r="J13" s="177"/>
      <c r="K13" s="14"/>
      <c r="L13" s="14"/>
      <c r="M13" s="14"/>
      <c r="N13" s="14"/>
      <c r="O13" s="14"/>
      <c r="P13" s="14"/>
      <c r="Q13" s="14">
        <v>0</v>
      </c>
      <c r="R13" s="57">
        <v>6037</v>
      </c>
      <c r="S13" s="14">
        <v>0</v>
      </c>
      <c r="T13" s="14">
        <f t="shared" ref="T13:T39" si="0">SUM(R13:S13)</f>
        <v>6037</v>
      </c>
    </row>
    <row r="14" spans="1:20" ht="33.75" customHeight="1" x14ac:dyDescent="0.25">
      <c r="A14" s="172">
        <f>A12+1</f>
        <v>4</v>
      </c>
      <c r="B14" s="173" t="s">
        <v>74</v>
      </c>
      <c r="C14" s="149" t="s">
        <v>271</v>
      </c>
      <c r="D14" s="57">
        <v>24500</v>
      </c>
      <c r="E14" s="14">
        <v>38931</v>
      </c>
      <c r="F14" s="14">
        <v>36000</v>
      </c>
      <c r="G14" s="13">
        <v>0</v>
      </c>
      <c r="H14" s="13">
        <v>36000</v>
      </c>
      <c r="I14" s="13">
        <f t="shared" ref="I14:I23" si="1">+J14-H14</f>
        <v>0</v>
      </c>
      <c r="J14" s="177">
        <v>36000</v>
      </c>
      <c r="K14" s="14">
        <v>0</v>
      </c>
      <c r="L14" s="14">
        <v>36000</v>
      </c>
      <c r="M14" s="14">
        <v>36500</v>
      </c>
      <c r="N14" s="14">
        <v>0</v>
      </c>
      <c r="O14" s="14">
        <v>61000</v>
      </c>
      <c r="P14" s="14">
        <v>0</v>
      </c>
      <c r="Q14" s="14">
        <v>39000</v>
      </c>
      <c r="R14" s="14">
        <v>0</v>
      </c>
      <c r="S14" s="14">
        <v>0</v>
      </c>
      <c r="T14" s="14">
        <f t="shared" si="0"/>
        <v>0</v>
      </c>
    </row>
    <row r="15" spans="1:20" ht="30" x14ac:dyDescent="0.25">
      <c r="A15" s="172">
        <f t="shared" ref="A15:A39" si="2">A14+1</f>
        <v>5</v>
      </c>
      <c r="B15" s="173" t="s">
        <v>75</v>
      </c>
      <c r="C15" s="149" t="s">
        <v>270</v>
      </c>
      <c r="D15" s="14">
        <v>14500</v>
      </c>
      <c r="E15" s="14">
        <v>14500</v>
      </c>
      <c r="F15" s="14">
        <v>30500</v>
      </c>
      <c r="G15" s="13">
        <v>0</v>
      </c>
      <c r="H15" s="13">
        <v>30500</v>
      </c>
      <c r="I15" s="13">
        <f t="shared" si="1"/>
        <v>0</v>
      </c>
      <c r="J15" s="178">
        <v>30500</v>
      </c>
      <c r="K15" s="14">
        <v>0</v>
      </c>
      <c r="L15" s="14">
        <v>30500</v>
      </c>
      <c r="M15" s="14">
        <v>16000</v>
      </c>
      <c r="N15" s="14">
        <v>8000</v>
      </c>
      <c r="O15" s="14">
        <v>16000</v>
      </c>
      <c r="P15" s="14">
        <v>0</v>
      </c>
      <c r="Q15" s="14">
        <v>24000</v>
      </c>
      <c r="R15" s="14">
        <v>24000</v>
      </c>
      <c r="S15" s="14">
        <v>0</v>
      </c>
      <c r="T15" s="14">
        <f t="shared" si="0"/>
        <v>24000</v>
      </c>
    </row>
    <row r="16" spans="1:20" ht="30" x14ac:dyDescent="0.25">
      <c r="A16" s="172">
        <f t="shared" si="2"/>
        <v>6</v>
      </c>
      <c r="B16" s="173" t="s">
        <v>76</v>
      </c>
      <c r="C16" s="149" t="s">
        <v>355</v>
      </c>
      <c r="D16" s="14"/>
      <c r="E16" s="14"/>
      <c r="F16" s="14">
        <v>0</v>
      </c>
      <c r="G16" s="13"/>
      <c r="H16" s="13"/>
      <c r="I16" s="13"/>
      <c r="J16" s="178"/>
      <c r="K16" s="14"/>
      <c r="L16" s="14">
        <v>0</v>
      </c>
      <c r="M16" s="14">
        <v>30000</v>
      </c>
      <c r="N16" s="14">
        <v>30000</v>
      </c>
      <c r="O16" s="14">
        <v>36000</v>
      </c>
      <c r="P16" s="14">
        <v>0</v>
      </c>
      <c r="Q16" s="14">
        <v>10000</v>
      </c>
      <c r="R16" s="14">
        <v>0</v>
      </c>
      <c r="S16" s="14">
        <v>0</v>
      </c>
      <c r="T16" s="14">
        <f t="shared" si="0"/>
        <v>0</v>
      </c>
    </row>
    <row r="17" spans="1:20" ht="18" customHeight="1" x14ac:dyDescent="0.25">
      <c r="A17" s="172">
        <f t="shared" si="2"/>
        <v>7</v>
      </c>
      <c r="B17" s="173" t="s">
        <v>77</v>
      </c>
      <c r="C17" s="149" t="s">
        <v>326</v>
      </c>
      <c r="D17" s="14">
        <v>1500</v>
      </c>
      <c r="E17" s="14">
        <v>1500</v>
      </c>
      <c r="F17" s="14">
        <v>1500</v>
      </c>
      <c r="G17" s="13">
        <v>0</v>
      </c>
      <c r="H17" s="13">
        <v>1500</v>
      </c>
      <c r="I17" s="13">
        <f t="shared" si="1"/>
        <v>0</v>
      </c>
      <c r="J17" s="178">
        <v>1500</v>
      </c>
      <c r="K17" s="14">
        <v>0</v>
      </c>
      <c r="L17" s="14">
        <v>1500</v>
      </c>
      <c r="M17" s="14">
        <v>1800</v>
      </c>
      <c r="N17" s="14">
        <v>0</v>
      </c>
      <c r="O17" s="14">
        <v>2000</v>
      </c>
      <c r="P17" s="14">
        <v>0</v>
      </c>
      <c r="Q17" s="14">
        <v>2000</v>
      </c>
      <c r="R17" s="14">
        <v>0</v>
      </c>
      <c r="S17" s="14">
        <v>0</v>
      </c>
      <c r="T17" s="14">
        <f t="shared" si="0"/>
        <v>0</v>
      </c>
    </row>
    <row r="18" spans="1:20" ht="18" customHeight="1" x14ac:dyDescent="0.25">
      <c r="A18" s="172">
        <f t="shared" si="2"/>
        <v>8</v>
      </c>
      <c r="B18" s="173" t="s">
        <v>78</v>
      </c>
      <c r="C18" s="149" t="s">
        <v>99</v>
      </c>
      <c r="D18" s="14">
        <v>2000</v>
      </c>
      <c r="E18" s="14">
        <v>0</v>
      </c>
      <c r="F18" s="14">
        <v>2000</v>
      </c>
      <c r="G18" s="13">
        <v>0</v>
      </c>
      <c r="H18" s="13">
        <v>2000</v>
      </c>
      <c r="I18" s="13">
        <f t="shared" si="1"/>
        <v>0</v>
      </c>
      <c r="J18" s="178">
        <v>2000</v>
      </c>
      <c r="K18" s="14">
        <v>0</v>
      </c>
      <c r="L18" s="14">
        <v>2000</v>
      </c>
      <c r="M18" s="14">
        <v>2000</v>
      </c>
      <c r="N18" s="14">
        <v>2000</v>
      </c>
      <c r="O18" s="14">
        <v>2000</v>
      </c>
      <c r="P18" s="14">
        <v>2000</v>
      </c>
      <c r="Q18" s="14">
        <v>2000</v>
      </c>
      <c r="R18" s="14">
        <v>2000</v>
      </c>
      <c r="S18" s="14">
        <v>0</v>
      </c>
      <c r="T18" s="14">
        <f t="shared" si="0"/>
        <v>2000</v>
      </c>
    </row>
    <row r="19" spans="1:20" ht="18" customHeight="1" x14ac:dyDescent="0.25">
      <c r="A19" s="172">
        <f t="shared" si="2"/>
        <v>9</v>
      </c>
      <c r="B19" s="173" t="s">
        <v>79</v>
      </c>
      <c r="C19" s="149" t="s">
        <v>341</v>
      </c>
      <c r="D19" s="14">
        <v>500</v>
      </c>
      <c r="E19" s="14">
        <v>0</v>
      </c>
      <c r="F19" s="14">
        <v>500</v>
      </c>
      <c r="G19" s="13">
        <v>0</v>
      </c>
      <c r="H19" s="13">
        <v>500</v>
      </c>
      <c r="I19" s="13">
        <f t="shared" si="1"/>
        <v>0</v>
      </c>
      <c r="J19" s="178">
        <v>500</v>
      </c>
      <c r="K19" s="14">
        <v>0</v>
      </c>
      <c r="L19" s="14">
        <v>500</v>
      </c>
      <c r="M19" s="14">
        <v>500</v>
      </c>
      <c r="N19" s="14">
        <v>500</v>
      </c>
      <c r="O19" s="14">
        <v>1000</v>
      </c>
      <c r="P19" s="14">
        <v>1000</v>
      </c>
      <c r="Q19" s="14">
        <v>1000</v>
      </c>
      <c r="R19" s="14">
        <v>1000</v>
      </c>
      <c r="S19" s="14">
        <v>0</v>
      </c>
      <c r="T19" s="14">
        <f t="shared" si="0"/>
        <v>1000</v>
      </c>
    </row>
    <row r="20" spans="1:20" ht="18" customHeight="1" x14ac:dyDescent="0.25">
      <c r="A20" s="172">
        <f t="shared" si="2"/>
        <v>10</v>
      </c>
      <c r="B20" s="173" t="s">
        <v>80</v>
      </c>
      <c r="C20" s="149" t="s">
        <v>98</v>
      </c>
      <c r="D20" s="14">
        <v>500</v>
      </c>
      <c r="E20" s="14">
        <v>0</v>
      </c>
      <c r="F20" s="14">
        <v>500</v>
      </c>
      <c r="G20" s="13">
        <v>0</v>
      </c>
      <c r="H20" s="13">
        <v>500</v>
      </c>
      <c r="I20" s="13">
        <f t="shared" si="1"/>
        <v>0</v>
      </c>
      <c r="J20" s="178">
        <v>500</v>
      </c>
      <c r="K20" s="14">
        <v>0</v>
      </c>
      <c r="L20" s="14">
        <v>500</v>
      </c>
      <c r="M20" s="14">
        <v>500</v>
      </c>
      <c r="N20" s="14">
        <v>500</v>
      </c>
      <c r="O20" s="14">
        <v>1000</v>
      </c>
      <c r="P20" s="14">
        <v>1000</v>
      </c>
      <c r="Q20" s="14">
        <v>1000</v>
      </c>
      <c r="R20" s="14">
        <v>1000</v>
      </c>
      <c r="S20" s="14">
        <v>0</v>
      </c>
      <c r="T20" s="14">
        <f t="shared" si="0"/>
        <v>1000</v>
      </c>
    </row>
    <row r="21" spans="1:20" ht="18" customHeight="1" x14ac:dyDescent="0.25">
      <c r="A21" s="172">
        <f t="shared" si="2"/>
        <v>11</v>
      </c>
      <c r="B21" s="173" t="s">
        <v>81</v>
      </c>
      <c r="C21" s="149" t="s">
        <v>316</v>
      </c>
      <c r="D21" s="57">
        <v>600</v>
      </c>
      <c r="E21" s="14">
        <v>600</v>
      </c>
      <c r="F21" s="14">
        <v>500</v>
      </c>
      <c r="G21" s="13">
        <v>0</v>
      </c>
      <c r="H21" s="13">
        <v>500</v>
      </c>
      <c r="I21" s="13">
        <f t="shared" si="1"/>
        <v>0</v>
      </c>
      <c r="J21" s="177">
        <v>500</v>
      </c>
      <c r="K21" s="14">
        <v>0</v>
      </c>
      <c r="L21" s="14">
        <v>500</v>
      </c>
      <c r="M21" s="14">
        <v>0</v>
      </c>
      <c r="N21" s="14">
        <v>0</v>
      </c>
      <c r="O21" s="14">
        <v>1000</v>
      </c>
      <c r="P21" s="14">
        <v>1000</v>
      </c>
      <c r="Q21" s="14">
        <v>1000</v>
      </c>
      <c r="R21" s="14">
        <v>1000</v>
      </c>
      <c r="S21" s="14">
        <v>0</v>
      </c>
      <c r="T21" s="14">
        <f t="shared" si="0"/>
        <v>1000</v>
      </c>
    </row>
    <row r="22" spans="1:20" ht="18" customHeight="1" x14ac:dyDescent="0.25">
      <c r="A22" s="172">
        <f t="shared" si="2"/>
        <v>12</v>
      </c>
      <c r="B22" s="173" t="s">
        <v>82</v>
      </c>
      <c r="C22" s="149" t="s">
        <v>263</v>
      </c>
      <c r="D22" s="57">
        <v>9000</v>
      </c>
      <c r="E22" s="14">
        <v>18000</v>
      </c>
      <c r="F22" s="14">
        <v>9000</v>
      </c>
      <c r="G22" s="13">
        <v>0</v>
      </c>
      <c r="H22" s="13">
        <v>9000</v>
      </c>
      <c r="I22" s="13">
        <f t="shared" si="1"/>
        <v>0</v>
      </c>
      <c r="J22" s="177">
        <v>9000</v>
      </c>
      <c r="K22" s="14">
        <v>0</v>
      </c>
      <c r="L22" s="14">
        <v>9000</v>
      </c>
      <c r="M22" s="14">
        <v>0</v>
      </c>
      <c r="N22" s="14">
        <v>0</v>
      </c>
      <c r="O22" s="14">
        <v>8000</v>
      </c>
      <c r="P22" s="14">
        <v>8000</v>
      </c>
      <c r="Q22" s="14">
        <v>5500</v>
      </c>
      <c r="R22" s="14">
        <v>5000</v>
      </c>
      <c r="S22" s="14">
        <v>0</v>
      </c>
      <c r="T22" s="14">
        <f t="shared" si="0"/>
        <v>5000</v>
      </c>
    </row>
    <row r="23" spans="1:20" ht="18" customHeight="1" x14ac:dyDescent="0.25">
      <c r="A23" s="172">
        <f t="shared" si="2"/>
        <v>13</v>
      </c>
      <c r="B23" s="173" t="s">
        <v>83</v>
      </c>
      <c r="C23" s="149" t="s">
        <v>317</v>
      </c>
      <c r="D23" s="57">
        <v>5000</v>
      </c>
      <c r="E23" s="14">
        <v>5000</v>
      </c>
      <c r="F23" s="14">
        <v>5000</v>
      </c>
      <c r="G23" s="13">
        <v>0</v>
      </c>
      <c r="H23" s="13">
        <v>5000</v>
      </c>
      <c r="I23" s="13">
        <f t="shared" si="1"/>
        <v>0</v>
      </c>
      <c r="J23" s="177">
        <v>5000</v>
      </c>
      <c r="K23" s="14">
        <v>0</v>
      </c>
      <c r="L23" s="14">
        <v>5000</v>
      </c>
      <c r="M23" s="14">
        <v>5000</v>
      </c>
      <c r="N23" s="14">
        <v>0</v>
      </c>
      <c r="O23" s="14">
        <v>6400</v>
      </c>
      <c r="P23" s="14">
        <v>0</v>
      </c>
      <c r="Q23" s="14">
        <v>5000</v>
      </c>
      <c r="R23" s="14">
        <v>0</v>
      </c>
      <c r="S23" s="14">
        <v>0</v>
      </c>
      <c r="T23" s="14">
        <f t="shared" si="0"/>
        <v>0</v>
      </c>
    </row>
    <row r="24" spans="1:20" ht="18" customHeight="1" x14ac:dyDescent="0.25">
      <c r="A24" s="172">
        <f t="shared" si="2"/>
        <v>14</v>
      </c>
      <c r="B24" s="173" t="s">
        <v>84</v>
      </c>
      <c r="C24" s="149" t="s">
        <v>325</v>
      </c>
      <c r="D24" s="179"/>
      <c r="E24" s="179"/>
      <c r="F24" s="179"/>
      <c r="G24" s="13"/>
      <c r="H24" s="13"/>
      <c r="I24" s="13"/>
      <c r="J24" s="177"/>
      <c r="K24" s="14"/>
      <c r="L24" s="14"/>
      <c r="M24" s="14"/>
      <c r="N24" s="14">
        <v>0</v>
      </c>
      <c r="O24" s="14">
        <v>5000</v>
      </c>
      <c r="P24" s="14">
        <v>0</v>
      </c>
      <c r="Q24" s="14">
        <v>5000</v>
      </c>
      <c r="R24" s="14">
        <v>0</v>
      </c>
      <c r="S24" s="14">
        <v>5000</v>
      </c>
      <c r="T24" s="14">
        <f t="shared" si="0"/>
        <v>5000</v>
      </c>
    </row>
    <row r="25" spans="1:20" ht="18" customHeight="1" x14ac:dyDescent="0.25">
      <c r="A25" s="172">
        <f t="shared" si="2"/>
        <v>15</v>
      </c>
      <c r="B25" s="173" t="s">
        <v>85</v>
      </c>
      <c r="C25" s="149" t="s">
        <v>353</v>
      </c>
      <c r="D25" s="179"/>
      <c r="E25" s="179"/>
      <c r="F25" s="179"/>
      <c r="G25" s="13"/>
      <c r="H25" s="13"/>
      <c r="I25" s="13"/>
      <c r="J25" s="177"/>
      <c r="K25" s="14"/>
      <c r="L25" s="14"/>
      <c r="M25" s="14"/>
      <c r="N25" s="14">
        <v>0</v>
      </c>
      <c r="O25" s="14">
        <v>2000</v>
      </c>
      <c r="P25" s="14">
        <v>0</v>
      </c>
      <c r="Q25" s="14">
        <v>496</v>
      </c>
      <c r="R25" s="14">
        <v>0</v>
      </c>
      <c r="S25" s="14">
        <v>0</v>
      </c>
      <c r="T25" s="14">
        <f t="shared" si="0"/>
        <v>0</v>
      </c>
    </row>
    <row r="26" spans="1:20" ht="18" customHeight="1" x14ac:dyDescent="0.25">
      <c r="A26" s="172">
        <f t="shared" si="2"/>
        <v>16</v>
      </c>
      <c r="B26" s="173" t="s">
        <v>86</v>
      </c>
      <c r="C26" s="149" t="s">
        <v>318</v>
      </c>
      <c r="D26" s="179"/>
      <c r="E26" s="179"/>
      <c r="F26" s="179"/>
      <c r="G26" s="13"/>
      <c r="H26" s="13"/>
      <c r="I26" s="13"/>
      <c r="J26" s="177"/>
      <c r="K26" s="14"/>
      <c r="L26" s="14"/>
      <c r="M26" s="14"/>
      <c r="N26" s="14">
        <v>0</v>
      </c>
      <c r="O26" s="14">
        <v>27000</v>
      </c>
      <c r="P26" s="14">
        <v>21502</v>
      </c>
      <c r="Q26" s="14">
        <v>0</v>
      </c>
      <c r="R26" s="14">
        <v>74708</v>
      </c>
      <c r="S26" s="14">
        <v>0</v>
      </c>
      <c r="T26" s="14">
        <f t="shared" si="0"/>
        <v>74708</v>
      </c>
    </row>
    <row r="27" spans="1:20" ht="18" customHeight="1" x14ac:dyDescent="0.25">
      <c r="A27" s="172">
        <f t="shared" si="2"/>
        <v>17</v>
      </c>
      <c r="B27" s="173" t="s">
        <v>87</v>
      </c>
      <c r="C27" s="149" t="s">
        <v>319</v>
      </c>
      <c r="D27" s="179"/>
      <c r="E27" s="179"/>
      <c r="F27" s="179"/>
      <c r="G27" s="13"/>
      <c r="H27" s="13"/>
      <c r="I27" s="13"/>
      <c r="J27" s="177"/>
      <c r="K27" s="14"/>
      <c r="L27" s="14"/>
      <c r="M27" s="14"/>
      <c r="N27" s="14">
        <v>0</v>
      </c>
      <c r="O27" s="14">
        <v>15000</v>
      </c>
      <c r="P27" s="14">
        <v>45110</v>
      </c>
      <c r="Q27" s="14">
        <v>42000</v>
      </c>
      <c r="R27" s="14">
        <v>0</v>
      </c>
      <c r="S27" s="14">
        <v>0</v>
      </c>
      <c r="T27" s="14">
        <f t="shared" si="0"/>
        <v>0</v>
      </c>
    </row>
    <row r="28" spans="1:20" ht="18" customHeight="1" x14ac:dyDescent="0.25">
      <c r="A28" s="172">
        <f t="shared" si="2"/>
        <v>18</v>
      </c>
      <c r="B28" s="173" t="s">
        <v>88</v>
      </c>
      <c r="C28" s="149" t="s">
        <v>329</v>
      </c>
      <c r="D28" s="179"/>
      <c r="E28" s="179"/>
      <c r="F28" s="179"/>
      <c r="G28" s="13"/>
      <c r="H28" s="13"/>
      <c r="I28" s="13"/>
      <c r="J28" s="177"/>
      <c r="K28" s="14"/>
      <c r="L28" s="14"/>
      <c r="M28" s="14"/>
      <c r="N28" s="14"/>
      <c r="O28" s="14">
        <v>0</v>
      </c>
      <c r="P28" s="14">
        <v>11257</v>
      </c>
      <c r="Q28" s="14">
        <v>8173</v>
      </c>
      <c r="R28" s="14">
        <v>0</v>
      </c>
      <c r="S28" s="14">
        <v>0</v>
      </c>
      <c r="T28" s="14">
        <f t="shared" si="0"/>
        <v>0</v>
      </c>
    </row>
    <row r="29" spans="1:20" ht="30" x14ac:dyDescent="0.25">
      <c r="A29" s="172">
        <f t="shared" si="2"/>
        <v>19</v>
      </c>
      <c r="B29" s="173" t="s">
        <v>89</v>
      </c>
      <c r="C29" s="292" t="s">
        <v>395</v>
      </c>
      <c r="D29" s="179"/>
      <c r="E29" s="179"/>
      <c r="F29" s="179"/>
      <c r="G29" s="13"/>
      <c r="H29" s="13"/>
      <c r="I29" s="13"/>
      <c r="J29" s="177"/>
      <c r="K29" s="14"/>
      <c r="L29" s="14"/>
      <c r="M29" s="14"/>
      <c r="N29" s="14"/>
      <c r="O29" s="14"/>
      <c r="P29" s="14"/>
      <c r="Q29" s="14">
        <v>0</v>
      </c>
      <c r="R29" s="14">
        <v>0</v>
      </c>
      <c r="S29" s="14">
        <v>2819</v>
      </c>
      <c r="T29" s="14">
        <f t="shared" si="0"/>
        <v>2819</v>
      </c>
    </row>
    <row r="30" spans="1:20" ht="18" customHeight="1" x14ac:dyDescent="0.25">
      <c r="A30" s="172">
        <f t="shared" si="2"/>
        <v>20</v>
      </c>
      <c r="B30" s="173" t="s">
        <v>90</v>
      </c>
      <c r="C30" s="149" t="s">
        <v>396</v>
      </c>
      <c r="D30" s="179"/>
      <c r="E30" s="179"/>
      <c r="F30" s="179"/>
      <c r="G30" s="13"/>
      <c r="H30" s="13"/>
      <c r="I30" s="13"/>
      <c r="J30" s="177"/>
      <c r="K30" s="14"/>
      <c r="L30" s="14"/>
      <c r="M30" s="14"/>
      <c r="N30" s="14"/>
      <c r="O30" s="14"/>
      <c r="P30" s="14"/>
      <c r="Q30" s="14">
        <v>0</v>
      </c>
      <c r="R30" s="14">
        <v>0</v>
      </c>
      <c r="S30" s="14">
        <v>800</v>
      </c>
      <c r="T30" s="14">
        <f t="shared" si="0"/>
        <v>800</v>
      </c>
    </row>
    <row r="31" spans="1:20" ht="18" customHeight="1" x14ac:dyDescent="0.25">
      <c r="A31" s="172">
        <f t="shared" si="2"/>
        <v>21</v>
      </c>
      <c r="B31" s="173" t="s">
        <v>91</v>
      </c>
      <c r="C31" s="149" t="s">
        <v>398</v>
      </c>
      <c r="D31" s="179"/>
      <c r="E31" s="179"/>
      <c r="F31" s="179"/>
      <c r="G31" s="13"/>
      <c r="H31" s="13"/>
      <c r="I31" s="13"/>
      <c r="J31" s="177"/>
      <c r="K31" s="14"/>
      <c r="L31" s="14"/>
      <c r="M31" s="14"/>
      <c r="N31" s="14"/>
      <c r="O31" s="14"/>
      <c r="P31" s="14"/>
      <c r="Q31" s="14">
        <v>0</v>
      </c>
      <c r="R31" s="14">
        <v>0</v>
      </c>
      <c r="S31" s="14">
        <v>59</v>
      </c>
      <c r="T31" s="14">
        <f t="shared" si="0"/>
        <v>59</v>
      </c>
    </row>
    <row r="32" spans="1:20" ht="18" customHeight="1" x14ac:dyDescent="0.25">
      <c r="A32" s="172">
        <f t="shared" si="2"/>
        <v>22</v>
      </c>
      <c r="B32" s="173" t="s">
        <v>92</v>
      </c>
      <c r="C32" s="149" t="s">
        <v>399</v>
      </c>
      <c r="D32" s="179"/>
      <c r="E32" s="179"/>
      <c r="F32" s="179"/>
      <c r="G32" s="13"/>
      <c r="H32" s="13"/>
      <c r="I32" s="13"/>
      <c r="J32" s="177"/>
      <c r="K32" s="14"/>
      <c r="L32" s="14"/>
      <c r="M32" s="14"/>
      <c r="N32" s="14"/>
      <c r="O32" s="14"/>
      <c r="P32" s="14"/>
      <c r="Q32" s="14">
        <v>0</v>
      </c>
      <c r="R32" s="14">
        <v>0</v>
      </c>
      <c r="S32" s="14">
        <v>59</v>
      </c>
      <c r="T32" s="14">
        <f t="shared" si="0"/>
        <v>59</v>
      </c>
    </row>
    <row r="33" spans="1:20" ht="18" customHeight="1" x14ac:dyDescent="0.25">
      <c r="A33" s="172">
        <f t="shared" si="2"/>
        <v>23</v>
      </c>
      <c r="B33" s="173" t="s">
        <v>95</v>
      </c>
      <c r="C33" s="149" t="s">
        <v>400</v>
      </c>
      <c r="D33" s="179"/>
      <c r="E33" s="179"/>
      <c r="F33" s="179"/>
      <c r="G33" s="13"/>
      <c r="H33" s="13"/>
      <c r="I33" s="13"/>
      <c r="J33" s="177"/>
      <c r="K33" s="14"/>
      <c r="L33" s="14"/>
      <c r="M33" s="14"/>
      <c r="N33" s="14"/>
      <c r="O33" s="14"/>
      <c r="P33" s="14"/>
      <c r="Q33" s="14">
        <v>0</v>
      </c>
      <c r="R33" s="14">
        <v>0</v>
      </c>
      <c r="S33" s="14">
        <v>100</v>
      </c>
      <c r="T33" s="14">
        <f t="shared" si="0"/>
        <v>100</v>
      </c>
    </row>
    <row r="34" spans="1:20" ht="18" customHeight="1" x14ac:dyDescent="0.25">
      <c r="A34" s="172">
        <f t="shared" si="2"/>
        <v>24</v>
      </c>
      <c r="B34" s="173" t="s">
        <v>96</v>
      </c>
      <c r="C34" s="149" t="s">
        <v>401</v>
      </c>
      <c r="D34" s="179"/>
      <c r="E34" s="179"/>
      <c r="F34" s="179"/>
      <c r="G34" s="13"/>
      <c r="H34" s="13"/>
      <c r="I34" s="13"/>
      <c r="J34" s="177"/>
      <c r="K34" s="14"/>
      <c r="L34" s="14"/>
      <c r="M34" s="14"/>
      <c r="N34" s="14"/>
      <c r="O34" s="14"/>
      <c r="P34" s="14"/>
      <c r="Q34" s="14">
        <v>0</v>
      </c>
      <c r="R34" s="14">
        <v>0</v>
      </c>
      <c r="S34" s="14">
        <v>100</v>
      </c>
      <c r="T34" s="14">
        <f t="shared" si="0"/>
        <v>100</v>
      </c>
    </row>
    <row r="35" spans="1:20" ht="18" customHeight="1" x14ac:dyDescent="0.25">
      <c r="A35" s="172">
        <f t="shared" si="2"/>
        <v>25</v>
      </c>
      <c r="B35" s="173" t="s">
        <v>300</v>
      </c>
      <c r="C35" s="149" t="s">
        <v>402</v>
      </c>
      <c r="D35" s="179"/>
      <c r="E35" s="179"/>
      <c r="F35" s="179"/>
      <c r="G35" s="13"/>
      <c r="H35" s="13"/>
      <c r="I35" s="13"/>
      <c r="J35" s="177"/>
      <c r="K35" s="14"/>
      <c r="L35" s="14"/>
      <c r="M35" s="14"/>
      <c r="N35" s="14"/>
      <c r="O35" s="14"/>
      <c r="P35" s="14"/>
      <c r="Q35" s="14">
        <v>0</v>
      </c>
      <c r="R35" s="14">
        <v>0</v>
      </c>
      <c r="S35" s="14">
        <v>110</v>
      </c>
      <c r="T35" s="14">
        <f t="shared" si="0"/>
        <v>110</v>
      </c>
    </row>
    <row r="36" spans="1:20" ht="18" customHeight="1" x14ac:dyDescent="0.25">
      <c r="A36" s="172">
        <f t="shared" si="2"/>
        <v>26</v>
      </c>
      <c r="B36" s="173" t="s">
        <v>301</v>
      </c>
      <c r="C36" s="149" t="s">
        <v>403</v>
      </c>
      <c r="D36" s="179"/>
      <c r="E36" s="179"/>
      <c r="F36" s="179"/>
      <c r="G36" s="13"/>
      <c r="H36" s="13"/>
      <c r="I36" s="13"/>
      <c r="J36" s="177"/>
      <c r="K36" s="14"/>
      <c r="L36" s="14"/>
      <c r="M36" s="14"/>
      <c r="N36" s="14"/>
      <c r="O36" s="14"/>
      <c r="P36" s="14"/>
      <c r="Q36" s="14">
        <v>0</v>
      </c>
      <c r="R36" s="14">
        <v>0</v>
      </c>
      <c r="S36" s="14">
        <v>250</v>
      </c>
      <c r="T36" s="14">
        <f t="shared" si="0"/>
        <v>250</v>
      </c>
    </row>
    <row r="37" spans="1:20" ht="18" customHeight="1" x14ac:dyDescent="0.25">
      <c r="A37" s="172">
        <f t="shared" si="2"/>
        <v>27</v>
      </c>
      <c r="B37" s="173" t="s">
        <v>302</v>
      </c>
      <c r="C37" s="149" t="s">
        <v>404</v>
      </c>
      <c r="D37" s="179"/>
      <c r="E37" s="179"/>
      <c r="F37" s="179"/>
      <c r="G37" s="13"/>
      <c r="H37" s="13"/>
      <c r="I37" s="13"/>
      <c r="J37" s="177"/>
      <c r="K37" s="14"/>
      <c r="L37" s="14"/>
      <c r="M37" s="14"/>
      <c r="N37" s="14"/>
      <c r="O37" s="14"/>
      <c r="P37" s="14"/>
      <c r="Q37" s="14">
        <v>0</v>
      </c>
      <c r="R37" s="14">
        <v>0</v>
      </c>
      <c r="S37" s="14">
        <v>100</v>
      </c>
      <c r="T37" s="14">
        <f t="shared" si="0"/>
        <v>100</v>
      </c>
    </row>
    <row r="38" spans="1:20" ht="30" customHeight="1" x14ac:dyDescent="0.25">
      <c r="A38" s="172">
        <f t="shared" si="2"/>
        <v>28</v>
      </c>
      <c r="B38" s="173" t="s">
        <v>303</v>
      </c>
      <c r="C38" s="292" t="s">
        <v>411</v>
      </c>
      <c r="D38" s="179"/>
      <c r="E38" s="179"/>
      <c r="F38" s="179"/>
      <c r="G38" s="13"/>
      <c r="H38" s="13"/>
      <c r="I38" s="13"/>
      <c r="J38" s="177"/>
      <c r="K38" s="14"/>
      <c r="L38" s="14"/>
      <c r="M38" s="14"/>
      <c r="N38" s="14"/>
      <c r="O38" s="14"/>
      <c r="P38" s="14"/>
      <c r="Q38" s="14">
        <v>0</v>
      </c>
      <c r="R38" s="14">
        <v>0</v>
      </c>
      <c r="S38" s="14">
        <v>2500</v>
      </c>
      <c r="T38" s="14">
        <f t="shared" si="0"/>
        <v>2500</v>
      </c>
    </row>
    <row r="39" spans="1:20" ht="30" x14ac:dyDescent="0.25">
      <c r="A39" s="172">
        <f t="shared" si="2"/>
        <v>29</v>
      </c>
      <c r="B39" s="173" t="s">
        <v>397</v>
      </c>
      <c r="C39" s="149" t="s">
        <v>405</v>
      </c>
      <c r="D39" s="179"/>
      <c r="E39" s="179"/>
      <c r="F39" s="179"/>
      <c r="G39" s="13"/>
      <c r="H39" s="13"/>
      <c r="I39" s="13"/>
      <c r="J39" s="177"/>
      <c r="K39" s="14"/>
      <c r="L39" s="14"/>
      <c r="M39" s="14"/>
      <c r="N39" s="14"/>
      <c r="O39" s="14"/>
      <c r="P39" s="14"/>
      <c r="Q39" s="14">
        <v>0</v>
      </c>
      <c r="R39" s="14">
        <v>0</v>
      </c>
      <c r="S39" s="14">
        <v>5722</v>
      </c>
      <c r="T39" s="14">
        <f t="shared" si="0"/>
        <v>5722</v>
      </c>
    </row>
    <row r="40" spans="1:20" ht="18" customHeight="1" x14ac:dyDescent="0.25">
      <c r="A40" s="172">
        <v>30</v>
      </c>
      <c r="B40" s="173"/>
      <c r="C40" s="180" t="s">
        <v>19</v>
      </c>
      <c r="D40" s="181">
        <f>SUM(D12:D23)</f>
        <v>58100</v>
      </c>
      <c r="E40" s="181">
        <f>SUM(E12:E23)</f>
        <v>78531</v>
      </c>
      <c r="F40" s="181">
        <f>SUM(F12:F23)</f>
        <v>85500</v>
      </c>
      <c r="G40" s="158">
        <v>-8000</v>
      </c>
      <c r="H40" s="49">
        <f>F40+G40</f>
        <v>77500</v>
      </c>
      <c r="I40" s="49">
        <f>SUM(I17:I23)</f>
        <v>0</v>
      </c>
      <c r="J40" s="49">
        <f>SUM(J12:J23)</f>
        <v>85500</v>
      </c>
      <c r="K40" s="49">
        <f>SUM(K12:K23)</f>
        <v>0</v>
      </c>
      <c r="L40" s="49">
        <f>SUM(L12:L23)</f>
        <v>85500</v>
      </c>
      <c r="M40" s="49">
        <f>SUM(M12:M23)</f>
        <v>92300</v>
      </c>
      <c r="N40" s="159">
        <f>SUM(N12:N23)</f>
        <v>471000</v>
      </c>
      <c r="O40" s="159">
        <f>SUM(O12:O28)</f>
        <v>683400</v>
      </c>
      <c r="P40" s="159">
        <f>SUM(P12:P28)</f>
        <v>590869</v>
      </c>
      <c r="Q40" s="159">
        <f>SUM(Q12:Q39)</f>
        <v>596169</v>
      </c>
      <c r="R40" s="159">
        <f t="shared" ref="R40:T40" si="3">SUM(R12:R39)</f>
        <v>634745</v>
      </c>
      <c r="S40" s="159">
        <f t="shared" si="3"/>
        <v>17619</v>
      </c>
      <c r="T40" s="159">
        <f t="shared" si="3"/>
        <v>652364</v>
      </c>
    </row>
    <row r="41" spans="1:20" ht="18" customHeight="1" x14ac:dyDescent="0.25">
      <c r="A41" s="362">
        <v>31</v>
      </c>
      <c r="B41" s="355"/>
      <c r="C41" s="343" t="s">
        <v>60</v>
      </c>
      <c r="D41" s="343" t="s">
        <v>104</v>
      </c>
      <c r="E41" s="365" t="s">
        <v>113</v>
      </c>
      <c r="F41" s="339" t="s">
        <v>109</v>
      </c>
      <c r="G41" s="182"/>
      <c r="H41" s="339" t="s">
        <v>115</v>
      </c>
      <c r="I41" s="343" t="s">
        <v>111</v>
      </c>
      <c r="J41" s="343" t="s">
        <v>258</v>
      </c>
      <c r="K41" s="366" t="s">
        <v>111</v>
      </c>
      <c r="L41" s="369" t="s">
        <v>259</v>
      </c>
      <c r="M41" s="339" t="str">
        <f t="shared" ref="M41:T41" si="4">M$8</f>
        <v>Előirányzat
4/2020. (III.05.) önkormányzati rendelet</v>
      </c>
      <c r="N41" s="339" t="str">
        <f t="shared" si="4"/>
        <v>Előirányzat
 5./2021. (II.25.) polgármesteri rendelet</v>
      </c>
      <c r="O41" s="339" t="str">
        <f t="shared" si="4"/>
        <v>Előirányzat
3/2022. (II.10.) önkormányzati rendelet</v>
      </c>
      <c r="P41" s="339" t="str">
        <f t="shared" si="4"/>
        <v>Előirányzat
1./2023. (II.23.) önkormányzati rendelet</v>
      </c>
      <c r="Q41" s="339" t="str">
        <f t="shared" si="4"/>
        <v>Előirányzat
 1./2024. (II.22.) önkormányzati rendelet</v>
      </c>
      <c r="R41" s="339" t="str">
        <f t="shared" si="4"/>
        <v>Előirányzat
2/2025. (II.20.) önkormányzati rendelet</v>
      </c>
      <c r="S41" s="339" t="str">
        <f t="shared" si="4"/>
        <v>Módosítás</v>
      </c>
      <c r="T41" s="339" t="str">
        <f t="shared" si="4"/>
        <v>Módosított előirányzat</v>
      </c>
    </row>
    <row r="42" spans="1:20" ht="18" customHeight="1" x14ac:dyDescent="0.25">
      <c r="A42" s="363"/>
      <c r="B42" s="355"/>
      <c r="C42" s="343"/>
      <c r="D42" s="343"/>
      <c r="E42" s="365"/>
      <c r="F42" s="340"/>
      <c r="G42" s="183"/>
      <c r="H42" s="340"/>
      <c r="I42" s="343"/>
      <c r="J42" s="343"/>
      <c r="K42" s="367"/>
      <c r="L42" s="367"/>
      <c r="M42" s="340"/>
      <c r="N42" s="340"/>
      <c r="O42" s="340"/>
      <c r="P42" s="340"/>
      <c r="Q42" s="340"/>
      <c r="R42" s="340"/>
      <c r="S42" s="340"/>
      <c r="T42" s="340"/>
    </row>
    <row r="43" spans="1:20" ht="45" customHeight="1" x14ac:dyDescent="0.25">
      <c r="A43" s="364"/>
      <c r="B43" s="355"/>
      <c r="C43" s="343"/>
      <c r="D43" s="343"/>
      <c r="E43" s="365"/>
      <c r="F43" s="341"/>
      <c r="G43" s="171" t="s">
        <v>111</v>
      </c>
      <c r="H43" s="341"/>
      <c r="I43" s="343"/>
      <c r="J43" s="343"/>
      <c r="K43" s="368"/>
      <c r="L43" s="368"/>
      <c r="M43" s="341"/>
      <c r="N43" s="341"/>
      <c r="O43" s="341"/>
      <c r="P43" s="341"/>
      <c r="Q43" s="341"/>
      <c r="R43" s="341"/>
      <c r="S43" s="341"/>
      <c r="T43" s="341"/>
    </row>
    <row r="44" spans="1:20" ht="18" customHeight="1" x14ac:dyDescent="0.25">
      <c r="A44" s="172">
        <v>30</v>
      </c>
      <c r="B44" s="155" t="s">
        <v>72</v>
      </c>
      <c r="C44" s="13" t="s">
        <v>61</v>
      </c>
      <c r="D44" s="14">
        <v>16000</v>
      </c>
      <c r="E44" s="14">
        <v>16000</v>
      </c>
      <c r="F44" s="14">
        <v>18000</v>
      </c>
      <c r="G44" s="13">
        <v>0</v>
      </c>
      <c r="H44" s="14">
        <v>18000</v>
      </c>
      <c r="I44" s="13">
        <f t="shared" ref="I44:I51" si="5">+J44-H44</f>
        <v>415</v>
      </c>
      <c r="J44" s="184">
        <v>18415</v>
      </c>
      <c r="K44" s="14">
        <v>0</v>
      </c>
      <c r="L44" s="14">
        <v>18415</v>
      </c>
      <c r="M44" s="14">
        <v>23413</v>
      </c>
      <c r="N44" s="14">
        <v>25000</v>
      </c>
      <c r="O44" s="14">
        <v>46790</v>
      </c>
      <c r="P44" s="14">
        <v>32165</v>
      </c>
      <c r="Q44" s="14">
        <v>21618</v>
      </c>
      <c r="R44" s="14">
        <v>33319</v>
      </c>
      <c r="S44" s="14">
        <v>0</v>
      </c>
      <c r="T44" s="14">
        <f t="shared" ref="T44:T50" si="6">SUM(R44:S44)</f>
        <v>33319</v>
      </c>
    </row>
    <row r="45" spans="1:20" ht="18" customHeight="1" x14ac:dyDescent="0.25">
      <c r="A45" s="172"/>
      <c r="B45" s="155" t="s">
        <v>73</v>
      </c>
      <c r="C45" s="13" t="s">
        <v>62</v>
      </c>
      <c r="D45" s="14">
        <v>1500</v>
      </c>
      <c r="E45" s="14">
        <v>1500</v>
      </c>
      <c r="F45" s="14">
        <v>1500</v>
      </c>
      <c r="G45" s="13">
        <v>0</v>
      </c>
      <c r="H45" s="14">
        <v>1500</v>
      </c>
      <c r="I45" s="13">
        <f t="shared" si="5"/>
        <v>0</v>
      </c>
      <c r="J45" s="184">
        <v>1500</v>
      </c>
      <c r="K45" s="14">
        <v>0</v>
      </c>
      <c r="L45" s="14">
        <v>1500</v>
      </c>
      <c r="M45" s="14">
        <v>1500</v>
      </c>
      <c r="N45" s="14">
        <v>1500</v>
      </c>
      <c r="O45" s="14">
        <v>1500</v>
      </c>
      <c r="P45" s="14">
        <v>1500</v>
      </c>
      <c r="Q45" s="14">
        <v>2000</v>
      </c>
      <c r="R45" s="14">
        <v>2000</v>
      </c>
      <c r="S45" s="14">
        <v>0</v>
      </c>
      <c r="T45" s="14">
        <f t="shared" si="6"/>
        <v>2000</v>
      </c>
    </row>
    <row r="46" spans="1:20" ht="18" customHeight="1" x14ac:dyDescent="0.25">
      <c r="A46" s="172">
        <v>33</v>
      </c>
      <c r="B46" s="155" t="s">
        <v>74</v>
      </c>
      <c r="C46" s="13" t="s">
        <v>63</v>
      </c>
      <c r="D46" s="14">
        <v>1500</v>
      </c>
      <c r="E46" s="14">
        <v>1500</v>
      </c>
      <c r="F46" s="14">
        <v>1500</v>
      </c>
      <c r="G46" s="13">
        <v>0</v>
      </c>
      <c r="H46" s="14">
        <v>1500</v>
      </c>
      <c r="I46" s="13">
        <f t="shared" si="5"/>
        <v>0</v>
      </c>
      <c r="J46" s="184">
        <v>1500</v>
      </c>
      <c r="K46" s="14">
        <v>0</v>
      </c>
      <c r="L46" s="14">
        <v>1500</v>
      </c>
      <c r="M46" s="14">
        <v>1500</v>
      </c>
      <c r="N46" s="14">
        <v>1500</v>
      </c>
      <c r="O46" s="14">
        <v>1500</v>
      </c>
      <c r="P46" s="14">
        <v>1500</v>
      </c>
      <c r="Q46" s="14">
        <v>2000</v>
      </c>
      <c r="R46" s="14">
        <v>2000</v>
      </c>
      <c r="S46" s="14">
        <v>0</v>
      </c>
      <c r="T46" s="14">
        <f t="shared" si="6"/>
        <v>2000</v>
      </c>
    </row>
    <row r="47" spans="1:20" ht="18" customHeight="1" x14ac:dyDescent="0.25">
      <c r="A47" s="172">
        <v>34</v>
      </c>
      <c r="B47" s="155" t="s">
        <v>75</v>
      </c>
      <c r="C47" s="13" t="s">
        <v>64</v>
      </c>
      <c r="D47" s="14">
        <v>2226</v>
      </c>
      <c r="E47" s="14">
        <v>0</v>
      </c>
      <c r="F47" s="14">
        <v>2226</v>
      </c>
      <c r="G47" s="13">
        <v>0</v>
      </c>
      <c r="H47" s="14">
        <v>2226</v>
      </c>
      <c r="I47" s="14">
        <v>4534</v>
      </c>
      <c r="J47" s="184">
        <f>2226+I47</f>
        <v>6760</v>
      </c>
      <c r="K47" s="57">
        <v>0</v>
      </c>
      <c r="L47" s="14">
        <f>J47</f>
        <v>6760</v>
      </c>
      <c r="M47" s="14">
        <v>9200</v>
      </c>
      <c r="N47" s="14">
        <v>9921</v>
      </c>
      <c r="O47" s="14">
        <v>14400</v>
      </c>
      <c r="P47" s="14">
        <v>14400</v>
      </c>
      <c r="Q47" s="14">
        <v>14400</v>
      </c>
      <c r="R47" s="14">
        <v>14400</v>
      </c>
      <c r="S47" s="14">
        <v>0</v>
      </c>
      <c r="T47" s="14">
        <f t="shared" si="6"/>
        <v>14400</v>
      </c>
    </row>
    <row r="48" spans="1:20" ht="21" customHeight="1" x14ac:dyDescent="0.25">
      <c r="A48" s="172">
        <f t="shared" ref="A48:A51" si="7">A47+1</f>
        <v>35</v>
      </c>
      <c r="B48" s="155" t="s">
        <v>77</v>
      </c>
      <c r="C48" s="13" t="s">
        <v>315</v>
      </c>
      <c r="D48" s="14"/>
      <c r="E48" s="14"/>
      <c r="F48" s="14"/>
      <c r="G48" s="13"/>
      <c r="H48" s="14"/>
      <c r="I48" s="13"/>
      <c r="J48" s="184"/>
      <c r="K48" s="14"/>
      <c r="L48" s="14"/>
      <c r="M48" s="14">
        <v>0</v>
      </c>
      <c r="N48" s="57">
        <v>0</v>
      </c>
      <c r="O48" s="57">
        <v>12000</v>
      </c>
      <c r="P48" s="14">
        <v>10200</v>
      </c>
      <c r="Q48" s="14">
        <v>10700</v>
      </c>
      <c r="R48" s="14">
        <v>7000</v>
      </c>
      <c r="S48" s="14">
        <v>0</v>
      </c>
      <c r="T48" s="14">
        <f t="shared" si="6"/>
        <v>7000</v>
      </c>
    </row>
    <row r="49" spans="1:20" ht="18" customHeight="1" x14ac:dyDescent="0.25">
      <c r="A49" s="172">
        <v>35</v>
      </c>
      <c r="B49" s="155" t="s">
        <v>78</v>
      </c>
      <c r="C49" s="13" t="s">
        <v>106</v>
      </c>
      <c r="D49" s="14">
        <v>8320</v>
      </c>
      <c r="E49" s="14">
        <v>8320</v>
      </c>
      <c r="F49" s="14">
        <v>14848</v>
      </c>
      <c r="G49" s="13">
        <v>0</v>
      </c>
      <c r="H49" s="14">
        <v>14848</v>
      </c>
      <c r="I49" s="13">
        <f t="shared" si="5"/>
        <v>0</v>
      </c>
      <c r="J49" s="184">
        <v>14848</v>
      </c>
      <c r="K49" s="14">
        <v>0</v>
      </c>
      <c r="L49" s="14">
        <v>14848</v>
      </c>
      <c r="M49" s="14">
        <v>13824</v>
      </c>
      <c r="N49" s="14">
        <v>12800</v>
      </c>
      <c r="O49" s="14">
        <v>12800</v>
      </c>
      <c r="P49" s="14">
        <v>12544</v>
      </c>
      <c r="Q49" s="14">
        <v>13056</v>
      </c>
      <c r="R49" s="14">
        <v>11495</v>
      </c>
      <c r="S49" s="14">
        <v>0</v>
      </c>
      <c r="T49" s="14">
        <f t="shared" si="6"/>
        <v>11495</v>
      </c>
    </row>
    <row r="50" spans="1:20" ht="18" customHeight="1" x14ac:dyDescent="0.25">
      <c r="A50" s="172">
        <v>36</v>
      </c>
      <c r="B50" s="155" t="s">
        <v>79</v>
      </c>
      <c r="C50" s="13" t="s">
        <v>375</v>
      </c>
      <c r="D50" s="14"/>
      <c r="E50" s="14"/>
      <c r="F50" s="14"/>
      <c r="G50" s="13"/>
      <c r="H50" s="14"/>
      <c r="I50" s="13"/>
      <c r="J50" s="184"/>
      <c r="K50" s="14"/>
      <c r="L50" s="14"/>
      <c r="M50" s="14"/>
      <c r="N50" s="14"/>
      <c r="O50" s="14"/>
      <c r="P50" s="14"/>
      <c r="Q50" s="14">
        <v>0</v>
      </c>
      <c r="R50" s="14">
        <v>5000</v>
      </c>
      <c r="S50" s="14">
        <v>0</v>
      </c>
      <c r="T50" s="14">
        <f t="shared" si="6"/>
        <v>5000</v>
      </c>
    </row>
    <row r="51" spans="1:20" ht="18" customHeight="1" x14ac:dyDescent="0.25">
      <c r="A51" s="172">
        <f t="shared" si="7"/>
        <v>37</v>
      </c>
      <c r="B51" s="155"/>
      <c r="C51" s="185" t="s">
        <v>66</v>
      </c>
      <c r="D51" s="186">
        <f>SUM(D44:D49)</f>
        <v>29546</v>
      </c>
      <c r="E51" s="186">
        <v>52944</v>
      </c>
      <c r="F51" s="186">
        <f>SUM(F44:F49)</f>
        <v>38074</v>
      </c>
      <c r="G51" s="158">
        <v>0</v>
      </c>
      <c r="H51" s="49">
        <v>38074</v>
      </c>
      <c r="I51" s="187">
        <f t="shared" si="5"/>
        <v>4949</v>
      </c>
      <c r="J51" s="49">
        <f>SUM(J44:J49)</f>
        <v>43023</v>
      </c>
      <c r="K51" s="53">
        <v>0</v>
      </c>
      <c r="L51" s="53">
        <f>SUM(J51:K51)</f>
        <v>43023</v>
      </c>
      <c r="M51" s="49">
        <f t="shared" ref="M51:P51" si="8">SUM(M44:M49)</f>
        <v>49437</v>
      </c>
      <c r="N51" s="159">
        <f t="shared" si="8"/>
        <v>50721</v>
      </c>
      <c r="O51" s="159">
        <f t="shared" si="8"/>
        <v>88990</v>
      </c>
      <c r="P51" s="159">
        <f t="shared" si="8"/>
        <v>72309</v>
      </c>
      <c r="Q51" s="159">
        <f>SUM(Q44:Q50)</f>
        <v>63774</v>
      </c>
      <c r="R51" s="159">
        <f>SUM(R44:R50)</f>
        <v>75214</v>
      </c>
      <c r="S51" s="159">
        <f t="shared" ref="S51:T51" si="9">SUM(S44:S50)</f>
        <v>0</v>
      </c>
      <c r="T51" s="159">
        <f t="shared" si="9"/>
        <v>75214</v>
      </c>
    </row>
    <row r="52" spans="1:20" ht="18" customHeight="1" x14ac:dyDescent="0.25">
      <c r="A52" s="362">
        <v>38</v>
      </c>
      <c r="B52" s="355"/>
      <c r="C52" s="357" t="s">
        <v>65</v>
      </c>
      <c r="D52" s="343" t="s">
        <v>104</v>
      </c>
      <c r="E52" s="365" t="s">
        <v>113</v>
      </c>
      <c r="F52" s="339" t="s">
        <v>109</v>
      </c>
      <c r="G52" s="13"/>
      <c r="H52" s="339" t="s">
        <v>115</v>
      </c>
      <c r="I52" s="343" t="s">
        <v>111</v>
      </c>
      <c r="J52" s="343" t="s">
        <v>258</v>
      </c>
      <c r="K52" s="366" t="s">
        <v>111</v>
      </c>
      <c r="L52" s="369" t="s">
        <v>259</v>
      </c>
      <c r="M52" s="339" t="str">
        <f t="shared" ref="M52:T52" si="10">M$8</f>
        <v>Előirányzat
4/2020. (III.05.) önkormányzati rendelet</v>
      </c>
      <c r="N52" s="339" t="str">
        <f t="shared" si="10"/>
        <v>Előirányzat
 5./2021. (II.25.) polgármesteri rendelet</v>
      </c>
      <c r="O52" s="339" t="str">
        <f t="shared" si="10"/>
        <v>Előirányzat
3/2022. (II.10.) önkormányzati rendelet</v>
      </c>
      <c r="P52" s="339" t="str">
        <f t="shared" si="10"/>
        <v>Előirányzat
1./2023. (II.23.) önkormányzati rendelet</v>
      </c>
      <c r="Q52" s="339" t="str">
        <f t="shared" si="10"/>
        <v>Előirányzat
 1./2024. (II.22.) önkormányzati rendelet</v>
      </c>
      <c r="R52" s="339" t="str">
        <f t="shared" si="10"/>
        <v>Előirányzat
2/2025. (II.20.) önkormányzati rendelet</v>
      </c>
      <c r="S52" s="339" t="str">
        <f t="shared" si="10"/>
        <v>Módosítás</v>
      </c>
      <c r="T52" s="339" t="str">
        <f t="shared" si="10"/>
        <v>Módosított előirányzat</v>
      </c>
    </row>
    <row r="53" spans="1:20" ht="18" customHeight="1" x14ac:dyDescent="0.25">
      <c r="A53" s="363"/>
      <c r="B53" s="355"/>
      <c r="C53" s="357"/>
      <c r="D53" s="343"/>
      <c r="E53" s="365"/>
      <c r="F53" s="340"/>
      <c r="G53" s="13"/>
      <c r="H53" s="340"/>
      <c r="I53" s="343"/>
      <c r="J53" s="343"/>
      <c r="K53" s="367"/>
      <c r="L53" s="367"/>
      <c r="M53" s="340"/>
      <c r="N53" s="340"/>
      <c r="O53" s="340"/>
      <c r="P53" s="340"/>
      <c r="Q53" s="340"/>
      <c r="R53" s="340"/>
      <c r="S53" s="340"/>
      <c r="T53" s="340"/>
    </row>
    <row r="54" spans="1:20" ht="42" customHeight="1" x14ac:dyDescent="0.25">
      <c r="A54" s="364"/>
      <c r="B54" s="355"/>
      <c r="C54" s="357"/>
      <c r="D54" s="343"/>
      <c r="E54" s="365"/>
      <c r="F54" s="341"/>
      <c r="G54" s="13"/>
      <c r="H54" s="341"/>
      <c r="I54" s="343"/>
      <c r="J54" s="343"/>
      <c r="K54" s="368"/>
      <c r="L54" s="368"/>
      <c r="M54" s="341"/>
      <c r="N54" s="341"/>
      <c r="O54" s="341"/>
      <c r="P54" s="341"/>
      <c r="Q54" s="341"/>
      <c r="R54" s="341"/>
      <c r="S54" s="341"/>
      <c r="T54" s="341"/>
    </row>
    <row r="55" spans="1:20" ht="18" customHeight="1" x14ac:dyDescent="0.25">
      <c r="A55" s="172">
        <v>39</v>
      </c>
      <c r="B55" s="172" t="s">
        <v>72</v>
      </c>
      <c r="C55" s="13" t="s">
        <v>99</v>
      </c>
      <c r="D55" s="14"/>
      <c r="E55" s="14"/>
      <c r="F55" s="14">
        <v>0</v>
      </c>
      <c r="G55" s="14"/>
      <c r="H55" s="14"/>
      <c r="I55" s="13"/>
      <c r="J55" s="14"/>
      <c r="K55" s="14"/>
      <c r="L55" s="14">
        <v>0</v>
      </c>
      <c r="M55" s="14">
        <v>5000</v>
      </c>
      <c r="N55" s="14">
        <v>0</v>
      </c>
      <c r="O55" s="14">
        <v>0</v>
      </c>
      <c r="P55" s="14">
        <v>145</v>
      </c>
      <c r="Q55" s="14">
        <v>1717</v>
      </c>
      <c r="R55" s="14">
        <v>0</v>
      </c>
      <c r="S55" s="14">
        <v>0</v>
      </c>
      <c r="T55" s="14">
        <f t="shared" ref="T55:T59" si="11">SUM(R55:S55)</f>
        <v>0</v>
      </c>
    </row>
    <row r="56" spans="1:20" ht="18" customHeight="1" x14ac:dyDescent="0.25">
      <c r="A56" s="172">
        <f t="shared" ref="A56:A61" si="12">A55+1</f>
        <v>40</v>
      </c>
      <c r="B56" s="172" t="s">
        <v>73</v>
      </c>
      <c r="C56" s="13" t="s">
        <v>354</v>
      </c>
      <c r="D56" s="14"/>
      <c r="E56" s="14"/>
      <c r="F56" s="14"/>
      <c r="G56" s="14"/>
      <c r="H56" s="14"/>
      <c r="I56" s="13"/>
      <c r="J56" s="14"/>
      <c r="K56" s="14"/>
      <c r="L56" s="14"/>
      <c r="M56" s="14"/>
      <c r="N56" s="14"/>
      <c r="O56" s="14"/>
      <c r="P56" s="14">
        <v>0</v>
      </c>
      <c r="Q56" s="14">
        <v>85181</v>
      </c>
      <c r="R56" s="14">
        <v>85181</v>
      </c>
      <c r="S56" s="14">
        <v>0</v>
      </c>
      <c r="T56" s="14">
        <f>SUM(R56:S56)</f>
        <v>85181</v>
      </c>
    </row>
    <row r="57" spans="1:20" ht="39.75" customHeight="1" x14ac:dyDescent="0.25">
      <c r="A57" s="172">
        <f t="shared" si="12"/>
        <v>41</v>
      </c>
      <c r="B57" s="172" t="s">
        <v>75</v>
      </c>
      <c r="C57" s="194" t="s">
        <v>356</v>
      </c>
      <c r="D57" s="14"/>
      <c r="E57" s="14"/>
      <c r="F57" s="14"/>
      <c r="G57" s="14"/>
      <c r="H57" s="14"/>
      <c r="I57" s="13"/>
      <c r="J57" s="14"/>
      <c r="K57" s="14"/>
      <c r="L57" s="14"/>
      <c r="M57" s="14"/>
      <c r="N57" s="14"/>
      <c r="O57" s="14"/>
      <c r="P57" s="14">
        <v>0</v>
      </c>
      <c r="Q57" s="14">
        <v>10000</v>
      </c>
      <c r="R57" s="14">
        <v>5500</v>
      </c>
      <c r="S57" s="14">
        <v>0</v>
      </c>
      <c r="T57" s="14">
        <f>SUM(R57:S57)</f>
        <v>5500</v>
      </c>
    </row>
    <row r="58" spans="1:20" ht="18" customHeight="1" x14ac:dyDescent="0.25">
      <c r="A58" s="172">
        <f t="shared" si="12"/>
        <v>42</v>
      </c>
      <c r="B58" s="172" t="s">
        <v>76</v>
      </c>
      <c r="C58" s="149" t="s">
        <v>330</v>
      </c>
      <c r="D58" s="179"/>
      <c r="E58" s="179"/>
      <c r="F58" s="179"/>
      <c r="G58" s="13"/>
      <c r="H58" s="13"/>
      <c r="I58" s="13"/>
      <c r="J58" s="177"/>
      <c r="K58" s="14"/>
      <c r="L58" s="14"/>
      <c r="M58" s="14"/>
      <c r="N58" s="14"/>
      <c r="O58" s="14">
        <v>0</v>
      </c>
      <c r="P58" s="14">
        <v>0</v>
      </c>
      <c r="Q58" s="14">
        <v>27547</v>
      </c>
      <c r="R58" s="14">
        <v>0</v>
      </c>
      <c r="S58" s="14">
        <v>0</v>
      </c>
      <c r="T58" s="14">
        <f t="shared" si="11"/>
        <v>0</v>
      </c>
    </row>
    <row r="59" spans="1:20" ht="18" customHeight="1" x14ac:dyDescent="0.25">
      <c r="A59" s="172">
        <f t="shared" si="12"/>
        <v>43</v>
      </c>
      <c r="B59" s="172" t="s">
        <v>77</v>
      </c>
      <c r="C59" s="13" t="s">
        <v>395</v>
      </c>
      <c r="D59" s="14"/>
      <c r="E59" s="14"/>
      <c r="F59" s="14">
        <v>0</v>
      </c>
      <c r="G59" s="14"/>
      <c r="H59" s="14"/>
      <c r="I59" s="13"/>
      <c r="J59" s="14"/>
      <c r="K59" s="14"/>
      <c r="L59" s="14">
        <v>0</v>
      </c>
      <c r="M59" s="14">
        <v>50000</v>
      </c>
      <c r="N59" s="14">
        <v>0</v>
      </c>
      <c r="O59" s="14">
        <v>0</v>
      </c>
      <c r="P59" s="14">
        <v>1969</v>
      </c>
      <c r="Q59" s="14">
        <v>0</v>
      </c>
      <c r="R59" s="14">
        <v>0</v>
      </c>
      <c r="S59" s="14">
        <v>11</v>
      </c>
      <c r="T59" s="14">
        <f t="shared" si="11"/>
        <v>11</v>
      </c>
    </row>
    <row r="60" spans="1:20" ht="18" customHeight="1" x14ac:dyDescent="0.25">
      <c r="A60" s="172">
        <f>A59+1</f>
        <v>44</v>
      </c>
      <c r="B60" s="172" t="s">
        <v>71</v>
      </c>
      <c r="C60" s="158" t="s">
        <v>66</v>
      </c>
      <c r="D60" s="49" t="e">
        <f>SUM(#REF!)</f>
        <v>#REF!</v>
      </c>
      <c r="E60" s="49" t="e">
        <f>SUM(#REF!)</f>
        <v>#REF!</v>
      </c>
      <c r="F60" s="49">
        <f>SUM(F55:F59)</f>
        <v>0</v>
      </c>
      <c r="G60" s="158">
        <v>8000</v>
      </c>
      <c r="H60" s="49" t="e">
        <f>SUM(#REF!)</f>
        <v>#REF!</v>
      </c>
      <c r="I60" s="158" t="e">
        <f t="shared" ref="I60:I69" si="13">+J60-H60</f>
        <v>#REF!</v>
      </c>
      <c r="J60" s="49" t="e">
        <f>SUM(#REF!)</f>
        <v>#REF!</v>
      </c>
      <c r="K60" s="49">
        <v>0</v>
      </c>
      <c r="L60" s="49">
        <f t="shared" ref="L60:T60" si="14">SUM(L55:L59)</f>
        <v>0</v>
      </c>
      <c r="M60" s="49">
        <f t="shared" si="14"/>
        <v>55000</v>
      </c>
      <c r="N60" s="159">
        <f t="shared" si="14"/>
        <v>0</v>
      </c>
      <c r="O60" s="159">
        <f t="shared" si="14"/>
        <v>0</v>
      </c>
      <c r="P60" s="159">
        <f t="shared" si="14"/>
        <v>2114</v>
      </c>
      <c r="Q60" s="159">
        <f t="shared" si="14"/>
        <v>124445</v>
      </c>
      <c r="R60" s="159">
        <f t="shared" si="14"/>
        <v>90681</v>
      </c>
      <c r="S60" s="159">
        <f t="shared" si="14"/>
        <v>11</v>
      </c>
      <c r="T60" s="159">
        <f t="shared" si="14"/>
        <v>90692</v>
      </c>
    </row>
    <row r="61" spans="1:20" ht="18" customHeight="1" x14ac:dyDescent="0.25">
      <c r="A61" s="172">
        <f t="shared" si="12"/>
        <v>45</v>
      </c>
      <c r="B61" s="155"/>
      <c r="C61" s="158"/>
      <c r="D61" s="13"/>
      <c r="E61" s="13"/>
      <c r="F61" s="13"/>
      <c r="G61" s="13"/>
      <c r="H61" s="13"/>
      <c r="I61" s="13"/>
      <c r="J61" s="13"/>
      <c r="K61" s="176"/>
      <c r="L61" s="176"/>
      <c r="M61" s="13"/>
      <c r="N61" s="13"/>
      <c r="O61" s="13"/>
      <c r="P61" s="13"/>
      <c r="Q61" s="13"/>
      <c r="R61" s="13"/>
      <c r="S61" s="13"/>
      <c r="T61" s="13"/>
    </row>
    <row r="62" spans="1:20" ht="18" customHeight="1" x14ac:dyDescent="0.25">
      <c r="A62" s="362">
        <v>46</v>
      </c>
      <c r="B62" s="355"/>
      <c r="C62" s="356" t="s">
        <v>67</v>
      </c>
      <c r="D62" s="343" t="s">
        <v>104</v>
      </c>
      <c r="E62" s="365" t="s">
        <v>113</v>
      </c>
      <c r="F62" s="339" t="s">
        <v>109</v>
      </c>
      <c r="G62" s="13"/>
      <c r="H62" s="339" t="s">
        <v>115</v>
      </c>
      <c r="I62" s="343" t="s">
        <v>111</v>
      </c>
      <c r="J62" s="343" t="s">
        <v>258</v>
      </c>
      <c r="K62" s="366" t="s">
        <v>111</v>
      </c>
      <c r="L62" s="369" t="s">
        <v>259</v>
      </c>
      <c r="M62" s="339" t="str">
        <f t="shared" ref="M62:T62" si="15">M$8</f>
        <v>Előirányzat
4/2020. (III.05.) önkormányzati rendelet</v>
      </c>
      <c r="N62" s="339" t="str">
        <f t="shared" si="15"/>
        <v>Előirányzat
 5./2021. (II.25.) polgármesteri rendelet</v>
      </c>
      <c r="O62" s="339" t="str">
        <f t="shared" si="15"/>
        <v>Előirányzat
3/2022. (II.10.) önkormányzati rendelet</v>
      </c>
      <c r="P62" s="339" t="str">
        <f t="shared" si="15"/>
        <v>Előirányzat
1./2023. (II.23.) önkormányzati rendelet</v>
      </c>
      <c r="Q62" s="339" t="str">
        <f t="shared" si="15"/>
        <v>Előirányzat
 1./2024. (II.22.) önkormányzati rendelet</v>
      </c>
      <c r="R62" s="339" t="str">
        <f t="shared" si="15"/>
        <v>Előirányzat
2/2025. (II.20.) önkormányzati rendelet</v>
      </c>
      <c r="S62" s="339" t="str">
        <f t="shared" si="15"/>
        <v>Módosítás</v>
      </c>
      <c r="T62" s="339" t="str">
        <f t="shared" si="15"/>
        <v>Módosított előirányzat</v>
      </c>
    </row>
    <row r="63" spans="1:20" ht="18" customHeight="1" x14ac:dyDescent="0.25">
      <c r="A63" s="363"/>
      <c r="B63" s="355"/>
      <c r="C63" s="356"/>
      <c r="D63" s="343"/>
      <c r="E63" s="365"/>
      <c r="F63" s="340"/>
      <c r="G63" s="13"/>
      <c r="H63" s="340"/>
      <c r="I63" s="343"/>
      <c r="J63" s="343"/>
      <c r="K63" s="367"/>
      <c r="L63" s="367"/>
      <c r="M63" s="340"/>
      <c r="N63" s="340"/>
      <c r="O63" s="340"/>
      <c r="P63" s="340"/>
      <c r="Q63" s="340"/>
      <c r="R63" s="340"/>
      <c r="S63" s="340"/>
      <c r="T63" s="340"/>
    </row>
    <row r="64" spans="1:20" ht="37.5" customHeight="1" x14ac:dyDescent="0.25">
      <c r="A64" s="364"/>
      <c r="B64" s="355"/>
      <c r="C64" s="356"/>
      <c r="D64" s="343"/>
      <c r="E64" s="365"/>
      <c r="F64" s="341"/>
      <c r="G64" s="13"/>
      <c r="H64" s="341"/>
      <c r="I64" s="343"/>
      <c r="J64" s="343"/>
      <c r="K64" s="368"/>
      <c r="L64" s="368"/>
      <c r="M64" s="341"/>
      <c r="N64" s="341"/>
      <c r="O64" s="341"/>
      <c r="P64" s="341"/>
      <c r="Q64" s="341"/>
      <c r="R64" s="341"/>
      <c r="S64" s="341"/>
      <c r="T64" s="341"/>
    </row>
    <row r="65" spans="1:20" ht="18" customHeight="1" x14ac:dyDescent="0.25">
      <c r="A65" s="172">
        <v>47</v>
      </c>
      <c r="B65" s="155" t="s">
        <v>72</v>
      </c>
      <c r="C65" s="13" t="s">
        <v>68</v>
      </c>
      <c r="D65" s="14">
        <v>304605</v>
      </c>
      <c r="E65" s="14">
        <v>305595</v>
      </c>
      <c r="F65" s="14">
        <v>324000</v>
      </c>
      <c r="G65" s="14">
        <v>0</v>
      </c>
      <c r="H65" s="14">
        <v>324000</v>
      </c>
      <c r="I65" s="189">
        <v>473</v>
      </c>
      <c r="J65" s="189">
        <f>I65+H65</f>
        <v>324473</v>
      </c>
      <c r="K65" s="14">
        <v>109</v>
      </c>
      <c r="L65" s="14">
        <f>J65+K65</f>
        <v>324582</v>
      </c>
      <c r="M65" s="14">
        <v>336000</v>
      </c>
      <c r="N65" s="14">
        <v>386873</v>
      </c>
      <c r="O65" s="14">
        <v>394562</v>
      </c>
      <c r="P65" s="14">
        <v>457521</v>
      </c>
      <c r="Q65" s="14">
        <f>'Bevételek 1m'!S95</f>
        <v>588141</v>
      </c>
      <c r="R65" s="14">
        <f>'Bevételek 1m'!T95</f>
        <v>734429</v>
      </c>
      <c r="S65" s="14">
        <f>'Bevételek 1m'!U95</f>
        <v>-33723</v>
      </c>
      <c r="T65" s="14">
        <f>'Bevételek 1m'!V95</f>
        <v>700706</v>
      </c>
    </row>
    <row r="66" spans="1:20" ht="18" customHeight="1" x14ac:dyDescent="0.25">
      <c r="A66" s="172">
        <v>48</v>
      </c>
      <c r="B66" s="155" t="s">
        <v>73</v>
      </c>
      <c r="C66" s="13" t="s">
        <v>69</v>
      </c>
      <c r="D66" s="14">
        <v>73697</v>
      </c>
      <c r="E66" s="14">
        <v>74269</v>
      </c>
      <c r="F66" s="14">
        <v>84728</v>
      </c>
      <c r="G66" s="14">
        <v>3316</v>
      </c>
      <c r="H66" s="14">
        <f>G66+F66</f>
        <v>88044</v>
      </c>
      <c r="I66" s="189">
        <v>2478</v>
      </c>
      <c r="J66" s="189">
        <f>I66+H66</f>
        <v>90522</v>
      </c>
      <c r="K66" s="14">
        <v>12604</v>
      </c>
      <c r="L66" s="14">
        <f t="shared" ref="L66:L69" si="16">J66+K66</f>
        <v>103126</v>
      </c>
      <c r="M66" s="14">
        <v>95000</v>
      </c>
      <c r="N66" s="14">
        <v>79460</v>
      </c>
      <c r="O66" s="14">
        <v>95507</v>
      </c>
      <c r="P66" s="14">
        <v>120050</v>
      </c>
      <c r="Q66" s="14">
        <f>'Bevételek 1m'!S125</f>
        <v>145212</v>
      </c>
      <c r="R66" s="14">
        <f>'Bevételek 1m'!T125</f>
        <v>133397</v>
      </c>
      <c r="S66" s="14">
        <f>'Bevételek 1m'!U125</f>
        <v>0</v>
      </c>
      <c r="T66" s="14">
        <f>'Bevételek 1m'!V125</f>
        <v>133397</v>
      </c>
    </row>
    <row r="67" spans="1:20" ht="18" customHeight="1" x14ac:dyDescent="0.25">
      <c r="A67" s="172">
        <v>49</v>
      </c>
      <c r="B67" s="155" t="s">
        <v>74</v>
      </c>
      <c r="C67" s="13" t="s">
        <v>97</v>
      </c>
      <c r="D67" s="14">
        <v>309865</v>
      </c>
      <c r="E67" s="14">
        <v>345494</v>
      </c>
      <c r="F67" s="14">
        <v>375000</v>
      </c>
      <c r="G67" s="14">
        <v>14266</v>
      </c>
      <c r="H67" s="14">
        <f>G67+F67</f>
        <v>389266</v>
      </c>
      <c r="I67" s="189">
        <v>18636</v>
      </c>
      <c r="J67" s="189">
        <f>I67+H67</f>
        <v>407902</v>
      </c>
      <c r="K67" s="14">
        <v>5763</v>
      </c>
      <c r="L67" s="14">
        <f t="shared" si="16"/>
        <v>413665</v>
      </c>
      <c r="M67" s="14">
        <v>425000</v>
      </c>
      <c r="N67" s="14">
        <v>400478</v>
      </c>
      <c r="O67" s="14">
        <v>541247</v>
      </c>
      <c r="P67" s="14">
        <v>665442</v>
      </c>
      <c r="Q67" s="14">
        <f>'Bevételek 1m'!S155</f>
        <v>731374</v>
      </c>
      <c r="R67" s="14">
        <f>'Bevételek 1m'!T155</f>
        <v>764384</v>
      </c>
      <c r="S67" s="14">
        <f>'Bevételek 1m'!U155</f>
        <v>24573</v>
      </c>
      <c r="T67" s="14">
        <f>'Bevételek 1m'!V155</f>
        <v>788957</v>
      </c>
    </row>
    <row r="68" spans="1:20" ht="18" customHeight="1" x14ac:dyDescent="0.25">
      <c r="A68" s="172">
        <v>50</v>
      </c>
      <c r="B68" s="155" t="s">
        <v>75</v>
      </c>
      <c r="C68" s="13" t="s">
        <v>361</v>
      </c>
      <c r="D68" s="14">
        <v>412105</v>
      </c>
      <c r="E68" s="14">
        <v>460780</v>
      </c>
      <c r="F68" s="14">
        <v>488359</v>
      </c>
      <c r="G68" s="14">
        <v>0</v>
      </c>
      <c r="H68" s="14">
        <v>488359</v>
      </c>
      <c r="I68" s="189">
        <v>7866</v>
      </c>
      <c r="J68" s="189">
        <f>I68+H68</f>
        <v>496225</v>
      </c>
      <c r="K68" s="14">
        <v>28011</v>
      </c>
      <c r="L68" s="14">
        <f t="shared" si="16"/>
        <v>524236</v>
      </c>
      <c r="M68" s="14">
        <v>435231</v>
      </c>
      <c r="N68" s="14">
        <v>458775</v>
      </c>
      <c r="O68" s="14">
        <v>493954</v>
      </c>
      <c r="P68" s="14">
        <v>591108</v>
      </c>
      <c r="Q68" s="14">
        <f>'Bevételek 1m'!S65</f>
        <v>681007</v>
      </c>
      <c r="R68" s="14">
        <f>'Bevételek 1m'!T65</f>
        <v>802544</v>
      </c>
      <c r="S68" s="14">
        <f>'Bevételek 1m'!U65</f>
        <v>0</v>
      </c>
      <c r="T68" s="14">
        <f>'Bevételek 1m'!V65</f>
        <v>802544</v>
      </c>
    </row>
    <row r="69" spans="1:20" ht="18" customHeight="1" x14ac:dyDescent="0.25">
      <c r="A69" s="172">
        <v>51</v>
      </c>
      <c r="B69" s="155"/>
      <c r="C69" s="158" t="s">
        <v>66</v>
      </c>
      <c r="D69" s="49">
        <f>D65+D66+D67+D68</f>
        <v>1100272</v>
      </c>
      <c r="E69" s="49">
        <f t="shared" ref="E69:F69" si="17">E65+E66+E67+E68</f>
        <v>1186138</v>
      </c>
      <c r="F69" s="49">
        <f t="shared" si="17"/>
        <v>1272087</v>
      </c>
      <c r="G69" s="49">
        <f>SUM(G65:G68)</f>
        <v>17582</v>
      </c>
      <c r="H69" s="49">
        <f>F69+G69</f>
        <v>1289669</v>
      </c>
      <c r="I69" s="187">
        <f t="shared" si="13"/>
        <v>29453</v>
      </c>
      <c r="J69" s="187">
        <f>SUM(J65:J68)</f>
        <v>1319122</v>
      </c>
      <c r="K69" s="49">
        <f>SUM(K65:K68)</f>
        <v>46487</v>
      </c>
      <c r="L69" s="49">
        <f t="shared" si="16"/>
        <v>1365609</v>
      </c>
      <c r="M69" s="49">
        <f t="shared" ref="M69:R69" si="18">SUM(M65:M68)</f>
        <v>1291231</v>
      </c>
      <c r="N69" s="159">
        <f t="shared" si="18"/>
        <v>1325586</v>
      </c>
      <c r="O69" s="159">
        <f t="shared" si="18"/>
        <v>1525270</v>
      </c>
      <c r="P69" s="159">
        <f t="shared" si="18"/>
        <v>1834121</v>
      </c>
      <c r="Q69" s="159">
        <f t="shared" si="18"/>
        <v>2145734</v>
      </c>
      <c r="R69" s="159">
        <f t="shared" si="18"/>
        <v>2434754</v>
      </c>
      <c r="S69" s="159">
        <f t="shared" ref="S69:T69" si="19">SUM(S65:S68)</f>
        <v>-9150</v>
      </c>
      <c r="T69" s="159">
        <f t="shared" si="19"/>
        <v>2425604</v>
      </c>
    </row>
    <row r="70" spans="1:20" ht="18" customHeight="1" x14ac:dyDescent="0.25"/>
    <row r="71" spans="1:20" ht="18" customHeight="1" x14ac:dyDescent="0.25">
      <c r="B71" s="352"/>
      <c r="C71" s="353"/>
      <c r="D71" s="354"/>
    </row>
    <row r="72" spans="1:20" ht="18" customHeight="1" x14ac:dyDescent="0.25">
      <c r="B72" s="352"/>
      <c r="C72" s="353"/>
      <c r="D72" s="354"/>
    </row>
    <row r="73" spans="1:20" ht="18" customHeight="1" x14ac:dyDescent="0.25">
      <c r="B73" s="352"/>
      <c r="C73" s="353"/>
      <c r="D73" s="354"/>
      <c r="M73" s="139" t="s">
        <v>279</v>
      </c>
      <c r="N73" s="142">
        <f>SUM(N40,N51)-SUM('Kiadások 2m'!O147,'Kiadások 2m'!O15)</f>
        <v>-9701</v>
      </c>
      <c r="O73" s="142">
        <f>SUM(O40,O51)-SUM('Kiadások 2m'!P147,'Kiadások 2m'!P15)</f>
        <v>-13500</v>
      </c>
      <c r="P73" s="142">
        <f>SUM(P40,P51)-SUM('Kiadások 2m'!Q147,'Kiadások 2m'!Q15)</f>
        <v>-52896</v>
      </c>
      <c r="Q73" s="142">
        <f>SUM(Q40,Q51)-SUM('Kiadások 2m'!R147,'Kiadások 2m'!R15)</f>
        <v>0</v>
      </c>
      <c r="R73" s="142">
        <f>SUM(R40,R51)-SUM('Kiadások 2m'!S147,'Kiadások 2m'!S15)</f>
        <v>-250000</v>
      </c>
      <c r="S73" s="142">
        <f>SUM(S40,S51)-SUM('Kiadások 2m'!T147,'Kiadások 2m'!T146)</f>
        <v>0</v>
      </c>
      <c r="T73" s="142">
        <f>SUM(T40,T51)-SUM('Kiadások 2m'!U147,'Kiadások 2m'!U146)</f>
        <v>-250000</v>
      </c>
    </row>
    <row r="74" spans="1:20" ht="18" customHeight="1" x14ac:dyDescent="0.25">
      <c r="C74" s="190"/>
      <c r="E74" s="191"/>
      <c r="H74" s="139" t="s">
        <v>70</v>
      </c>
      <c r="M74" s="139" t="s">
        <v>280</v>
      </c>
      <c r="N74" s="142">
        <f>N60-'Kiadások 2m'!O153</f>
        <v>0</v>
      </c>
      <c r="O74" s="142">
        <f>O60-'Kiadások 2m'!P153</f>
        <v>0</v>
      </c>
      <c r="P74" s="142">
        <f>P60-'Kiadások 2m'!Q153</f>
        <v>0</v>
      </c>
      <c r="Q74" s="142">
        <f>Q60-'Kiadások 2m'!R153</f>
        <v>0</v>
      </c>
      <c r="R74" s="142">
        <f>R60-'Kiadások 2m'!S153</f>
        <v>0</v>
      </c>
      <c r="S74" s="142">
        <f>S60-'Kiadások 2m'!T153</f>
        <v>0</v>
      </c>
      <c r="T74" s="142">
        <f>T60-'Kiadások 2m'!U153</f>
        <v>0</v>
      </c>
    </row>
    <row r="75" spans="1:20" ht="18" customHeight="1" x14ac:dyDescent="0.25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39" t="s">
        <v>281</v>
      </c>
      <c r="N75" s="142">
        <f>N69-'Kiadások 2m'!O162</f>
        <v>0</v>
      </c>
      <c r="O75" s="142">
        <f>O69-'Kiadások 2m'!P162</f>
        <v>0</v>
      </c>
      <c r="P75" s="142">
        <f>P69-'Kiadások 2m'!Q162</f>
        <v>0</v>
      </c>
      <c r="Q75" s="142">
        <f>Q69-'Kiadások 2m'!R162</f>
        <v>0</v>
      </c>
      <c r="R75" s="142">
        <f>R69-'Kiadások 2m'!S162</f>
        <v>0</v>
      </c>
      <c r="S75" s="142">
        <f>S69-'Kiadások 2m'!T162</f>
        <v>0</v>
      </c>
      <c r="T75" s="142">
        <f>T69-'Kiadások 2m'!U162</f>
        <v>0</v>
      </c>
    </row>
    <row r="76" spans="1:20" ht="14.25" customHeight="1" x14ac:dyDescent="0.25">
      <c r="E76" s="191"/>
    </row>
  </sheetData>
  <mergeCells count="83">
    <mergeCell ref="A3:T3"/>
    <mergeCell ref="R8:R10"/>
    <mergeCell ref="R41:R43"/>
    <mergeCell ref="R52:R54"/>
    <mergeCell ref="R62:R64"/>
    <mergeCell ref="I8:I10"/>
    <mergeCell ref="J8:J10"/>
    <mergeCell ref="I52:I54"/>
    <mergeCell ref="J52:J54"/>
    <mergeCell ref="M8:M10"/>
    <mergeCell ref="M41:M43"/>
    <mergeCell ref="M52:M54"/>
    <mergeCell ref="M62:M64"/>
    <mergeCell ref="N52:N54"/>
    <mergeCell ref="N62:N64"/>
    <mergeCell ref="N8:N10"/>
    <mergeCell ref="N41:N43"/>
    <mergeCell ref="G8:G10"/>
    <mergeCell ref="F8:F10"/>
    <mergeCell ref="K62:K64"/>
    <mergeCell ref="L62:L64"/>
    <mergeCell ref="K8:K10"/>
    <mergeCell ref="L8:L10"/>
    <mergeCell ref="K41:K43"/>
    <mergeCell ref="L41:L43"/>
    <mergeCell ref="K52:K54"/>
    <mergeCell ref="L52:L54"/>
    <mergeCell ref="I41:I43"/>
    <mergeCell ref="J41:J43"/>
    <mergeCell ref="I62:I64"/>
    <mergeCell ref="J62:J64"/>
    <mergeCell ref="H52:H54"/>
    <mergeCell ref="H62:H64"/>
    <mergeCell ref="C8:C10"/>
    <mergeCell ref="D8:D10"/>
    <mergeCell ref="A52:A54"/>
    <mergeCell ref="A62:A64"/>
    <mergeCell ref="H41:H43"/>
    <mergeCell ref="A8:A10"/>
    <mergeCell ref="A41:A43"/>
    <mergeCell ref="E8:E10"/>
    <mergeCell ref="E41:E43"/>
    <mergeCell ref="E52:E54"/>
    <mergeCell ref="E62:E64"/>
    <mergeCell ref="F41:F43"/>
    <mergeCell ref="F52:F54"/>
    <mergeCell ref="F62:F64"/>
    <mergeCell ref="H8:H10"/>
    <mergeCell ref="A1:Q1"/>
    <mergeCell ref="A4:Q4"/>
    <mergeCell ref="B71:B73"/>
    <mergeCell ref="C71:C73"/>
    <mergeCell ref="D71:D73"/>
    <mergeCell ref="B41:B43"/>
    <mergeCell ref="C41:C43"/>
    <mergeCell ref="D41:D43"/>
    <mergeCell ref="B52:B54"/>
    <mergeCell ref="B62:B64"/>
    <mergeCell ref="C62:C64"/>
    <mergeCell ref="D62:D64"/>
    <mergeCell ref="C52:C54"/>
    <mergeCell ref="D52:D54"/>
    <mergeCell ref="B8:B10"/>
    <mergeCell ref="Q8:Q10"/>
    <mergeCell ref="Q41:Q43"/>
    <mergeCell ref="Q52:Q54"/>
    <mergeCell ref="Q62:Q64"/>
    <mergeCell ref="O8:O10"/>
    <mergeCell ref="O41:O43"/>
    <mergeCell ref="O52:O54"/>
    <mergeCell ref="O62:O64"/>
    <mergeCell ref="P8:P10"/>
    <mergeCell ref="P41:P43"/>
    <mergeCell ref="P52:P54"/>
    <mergeCell ref="P62:P64"/>
    <mergeCell ref="S62:S64"/>
    <mergeCell ref="T62:T64"/>
    <mergeCell ref="S8:S10"/>
    <mergeCell ref="T8:T10"/>
    <mergeCell ref="S41:S43"/>
    <mergeCell ref="T41:T43"/>
    <mergeCell ref="S52:S54"/>
    <mergeCell ref="T52:T54"/>
  </mergeCells>
  <phoneticPr fontId="14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0" orientation="portrait" r:id="rId1"/>
  <headerFooter>
    <oddFooter>&amp;P. oldal</oddFooter>
  </headerFooter>
  <rowBreaks count="1" manualBreakCount="1">
    <brk id="71" max="13" man="1"/>
  </rowBreaks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W25"/>
  <sheetViews>
    <sheetView view="pageBreakPreview" zoomScale="93" zoomScaleNormal="93" zoomScaleSheetLayoutView="93" workbookViewId="0">
      <selection sqref="A1:T1"/>
    </sheetView>
  </sheetViews>
  <sheetFormatPr defaultColWidth="9.140625" defaultRowHeight="15" x14ac:dyDescent="0.25"/>
  <cols>
    <col min="1" max="1" width="9.140625" style="139"/>
    <col min="2" max="2" width="8.85546875" style="139" customWidth="1"/>
    <col min="3" max="3" width="64.42578125" style="139" customWidth="1"/>
    <col min="4" max="4" width="17" style="139" hidden="1" customWidth="1"/>
    <col min="5" max="5" width="18.140625" style="139" hidden="1" customWidth="1"/>
    <col min="6" max="6" width="16.5703125" style="139" hidden="1" customWidth="1"/>
    <col min="7" max="7" width="15.5703125" style="139" hidden="1" customWidth="1"/>
    <col min="8" max="8" width="6.42578125" style="139" hidden="1" customWidth="1"/>
    <col min="9" max="9" width="23.85546875" style="139" hidden="1" customWidth="1"/>
    <col min="10" max="10" width="0.140625" style="139" hidden="1" customWidth="1"/>
    <col min="11" max="11" width="15.42578125" style="139" hidden="1" customWidth="1"/>
    <col min="12" max="12" width="14" style="139" hidden="1" customWidth="1"/>
    <col min="13" max="13" width="15.42578125" style="141" hidden="1" customWidth="1"/>
    <col min="14" max="14" width="14" style="139" hidden="1" customWidth="1"/>
    <col min="15" max="15" width="22.5703125" style="141" hidden="1" customWidth="1"/>
    <col min="16" max="16" width="19.5703125" style="139" hidden="1" customWidth="1"/>
    <col min="17" max="19" width="20.85546875" style="139" hidden="1" customWidth="1"/>
    <col min="20" max="20" width="17.7109375" style="139" customWidth="1"/>
    <col min="21" max="21" width="19" style="139" customWidth="1"/>
    <col min="22" max="22" width="16.140625" style="139" customWidth="1"/>
    <col min="23" max="23" width="15.42578125" style="139" customWidth="1"/>
    <col min="24" max="16384" width="9.140625" style="139"/>
  </cols>
  <sheetData>
    <row r="1" spans="1:23" ht="30.75" customHeight="1" x14ac:dyDescent="0.25">
      <c r="A1" s="347" t="s">
        <v>417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138"/>
      <c r="V1" s="138"/>
      <c r="W1" s="138"/>
    </row>
    <row r="2" spans="1:23" ht="27.75" customHeight="1" x14ac:dyDescent="0.25">
      <c r="A2" s="335" t="s">
        <v>382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</row>
    <row r="3" spans="1:23" ht="18" customHeight="1" x14ac:dyDescent="0.2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</row>
    <row r="4" spans="1:23" ht="12.75" customHeight="1" x14ac:dyDescent="0.25">
      <c r="B4" s="143"/>
      <c r="C4" s="143"/>
      <c r="D4" s="143"/>
      <c r="E4" s="143"/>
    </row>
    <row r="5" spans="1:23" ht="12.75" customHeight="1" x14ac:dyDescent="0.25">
      <c r="B5" s="143"/>
      <c r="C5" s="143"/>
      <c r="D5" s="143"/>
      <c r="E5" s="143"/>
      <c r="S5" s="141" t="s">
        <v>71</v>
      </c>
      <c r="T5" s="141"/>
      <c r="U5" s="141"/>
      <c r="V5" s="141"/>
      <c r="W5" s="141" t="s">
        <v>56</v>
      </c>
    </row>
    <row r="6" spans="1:23" x14ac:dyDescent="0.25">
      <c r="A6" s="13"/>
      <c r="B6" s="188" t="s">
        <v>272</v>
      </c>
      <c r="C6" s="188" t="s">
        <v>273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 t="s">
        <v>274</v>
      </c>
      <c r="Q6" s="188" t="s">
        <v>274</v>
      </c>
      <c r="R6" s="188" t="s">
        <v>274</v>
      </c>
      <c r="S6" s="188" t="s">
        <v>274</v>
      </c>
      <c r="T6" s="188" t="s">
        <v>274</v>
      </c>
      <c r="U6" s="188" t="s">
        <v>275</v>
      </c>
      <c r="V6" s="188" t="s">
        <v>312</v>
      </c>
      <c r="W6" s="188" t="s">
        <v>277</v>
      </c>
    </row>
    <row r="7" spans="1:23" ht="39" customHeight="1" x14ac:dyDescent="0.25">
      <c r="A7" s="371">
        <v>1</v>
      </c>
      <c r="B7" s="341" t="s">
        <v>57</v>
      </c>
      <c r="C7" s="341"/>
      <c r="D7" s="341" t="s">
        <v>104</v>
      </c>
      <c r="E7" s="341"/>
      <c r="F7" s="341"/>
      <c r="G7" s="341"/>
      <c r="H7" s="334" t="s">
        <v>113</v>
      </c>
      <c r="I7" s="340" t="s">
        <v>109</v>
      </c>
      <c r="J7" s="359" t="s">
        <v>111</v>
      </c>
      <c r="K7" s="340" t="s">
        <v>115</v>
      </c>
      <c r="L7" s="340" t="s">
        <v>111</v>
      </c>
      <c r="M7" s="340" t="s">
        <v>257</v>
      </c>
      <c r="N7" s="340" t="s">
        <v>111</v>
      </c>
      <c r="O7" s="340" t="s">
        <v>262</v>
      </c>
      <c r="P7" s="340" t="s">
        <v>309</v>
      </c>
      <c r="Q7" s="340" t="s">
        <v>311</v>
      </c>
      <c r="R7" s="339" t="s">
        <v>327</v>
      </c>
      <c r="S7" s="339" t="s">
        <v>343</v>
      </c>
      <c r="T7" s="339" t="s">
        <v>366</v>
      </c>
      <c r="U7" s="332" t="s">
        <v>385</v>
      </c>
      <c r="V7" s="332" t="s">
        <v>111</v>
      </c>
      <c r="W7" s="332" t="s">
        <v>384</v>
      </c>
    </row>
    <row r="8" spans="1:23" ht="15" customHeight="1" x14ac:dyDescent="0.25">
      <c r="A8" s="371"/>
      <c r="B8" s="343"/>
      <c r="C8" s="343"/>
      <c r="D8" s="343"/>
      <c r="E8" s="343"/>
      <c r="F8" s="343"/>
      <c r="G8" s="343"/>
      <c r="H8" s="365"/>
      <c r="I8" s="340"/>
      <c r="J8" s="359"/>
      <c r="K8" s="359"/>
      <c r="L8" s="359"/>
      <c r="M8" s="359"/>
      <c r="N8" s="359"/>
      <c r="O8" s="340"/>
      <c r="P8" s="340"/>
      <c r="Q8" s="340"/>
      <c r="R8" s="340"/>
      <c r="S8" s="340"/>
      <c r="T8" s="340"/>
      <c r="U8" s="333"/>
      <c r="V8" s="333"/>
      <c r="W8" s="333"/>
    </row>
    <row r="9" spans="1:23" ht="11.45" customHeight="1" x14ac:dyDescent="0.25">
      <c r="A9" s="371"/>
      <c r="B9" s="343"/>
      <c r="C9" s="343"/>
      <c r="D9" s="343"/>
      <c r="E9" s="343"/>
      <c r="F9" s="343"/>
      <c r="G9" s="343"/>
      <c r="H9" s="365"/>
      <c r="I9" s="341"/>
      <c r="J9" s="360"/>
      <c r="K9" s="360"/>
      <c r="L9" s="360"/>
      <c r="M9" s="360"/>
      <c r="N9" s="360"/>
      <c r="O9" s="341"/>
      <c r="P9" s="341"/>
      <c r="Q9" s="341"/>
      <c r="R9" s="341"/>
      <c r="S9" s="341"/>
      <c r="T9" s="341"/>
      <c r="U9" s="334"/>
      <c r="V9" s="334"/>
      <c r="W9" s="334"/>
    </row>
    <row r="10" spans="1:23" x14ac:dyDescent="0.25">
      <c r="A10" s="172">
        <v>2</v>
      </c>
      <c r="B10" s="13" t="s">
        <v>72</v>
      </c>
      <c r="C10" s="13" t="s">
        <v>93</v>
      </c>
      <c r="D10" s="14">
        <v>0</v>
      </c>
      <c r="E10" s="193"/>
      <c r="F10" s="193"/>
      <c r="G10" s="193"/>
      <c r="H10" s="14">
        <v>4853</v>
      </c>
      <c r="I10" s="14">
        <v>0</v>
      </c>
      <c r="J10" s="13">
        <v>0</v>
      </c>
      <c r="K10" s="14">
        <v>0</v>
      </c>
      <c r="L10" s="14">
        <v>2300</v>
      </c>
      <c r="M10" s="14">
        <f t="shared" ref="M10:M11" si="0">K10+L10</f>
        <v>2300</v>
      </c>
      <c r="N10" s="14"/>
      <c r="O10" s="14">
        <f t="shared" ref="O10:O11" si="1">M10+N10</f>
        <v>2300</v>
      </c>
      <c r="P10" s="14">
        <v>7500</v>
      </c>
      <c r="Q10" s="14">
        <v>0</v>
      </c>
      <c r="R10" s="14">
        <v>4000</v>
      </c>
      <c r="S10" s="14">
        <v>3000</v>
      </c>
      <c r="T10" s="14">
        <v>11500</v>
      </c>
      <c r="U10" s="14">
        <v>24579</v>
      </c>
      <c r="V10" s="14">
        <v>0</v>
      </c>
      <c r="W10" s="14">
        <f>SUM(U10:V10)</f>
        <v>24579</v>
      </c>
    </row>
    <row r="11" spans="1:23" x14ac:dyDescent="0.25">
      <c r="A11" s="172">
        <v>3</v>
      </c>
      <c r="B11" s="13" t="s">
        <v>73</v>
      </c>
      <c r="C11" s="13" t="s">
        <v>105</v>
      </c>
      <c r="D11" s="14">
        <v>22180</v>
      </c>
      <c r="E11" s="193"/>
      <c r="F11" s="193"/>
      <c r="G11" s="193"/>
      <c r="H11" s="14">
        <v>27030</v>
      </c>
      <c r="I11" s="14">
        <v>0</v>
      </c>
      <c r="J11" s="13">
        <v>0</v>
      </c>
      <c r="K11" s="14">
        <v>0</v>
      </c>
      <c r="L11" s="14">
        <v>1085</v>
      </c>
      <c r="M11" s="14">
        <f t="shared" si="0"/>
        <v>1085</v>
      </c>
      <c r="N11" s="14"/>
      <c r="O11" s="14">
        <f t="shared" si="1"/>
        <v>1085</v>
      </c>
      <c r="P11" s="14">
        <v>6500</v>
      </c>
      <c r="Q11" s="14">
        <v>7000</v>
      </c>
      <c r="R11" s="14">
        <v>10400</v>
      </c>
      <c r="S11" s="14">
        <v>10400</v>
      </c>
      <c r="T11" s="14">
        <v>10000</v>
      </c>
      <c r="U11" s="14">
        <v>0</v>
      </c>
      <c r="V11" s="14">
        <v>0</v>
      </c>
      <c r="W11" s="14">
        <f t="shared" ref="W11:W19" si="2">SUM(U11:V11)</f>
        <v>0</v>
      </c>
    </row>
    <row r="12" spans="1:23" ht="30" x14ac:dyDescent="0.25">
      <c r="A12" s="172">
        <v>4</v>
      </c>
      <c r="B12" s="13" t="s">
        <v>74</v>
      </c>
      <c r="C12" s="194" t="s">
        <v>389</v>
      </c>
      <c r="D12" s="14">
        <v>0</v>
      </c>
      <c r="E12" s="193"/>
      <c r="F12" s="193"/>
      <c r="G12" s="193"/>
      <c r="H12" s="14">
        <v>114602</v>
      </c>
      <c r="I12" s="14">
        <v>0</v>
      </c>
      <c r="J12" s="13">
        <v>0</v>
      </c>
      <c r="K12" s="14">
        <v>0</v>
      </c>
      <c r="L12" s="14">
        <v>15962</v>
      </c>
      <c r="M12" s="14">
        <f>K12+L12</f>
        <v>15962</v>
      </c>
      <c r="N12" s="14"/>
      <c r="O12" s="14">
        <f>M12+N12</f>
        <v>15962</v>
      </c>
      <c r="P12" s="14">
        <v>0</v>
      </c>
      <c r="Q12" s="14">
        <v>14859</v>
      </c>
      <c r="R12" s="14">
        <v>18000</v>
      </c>
      <c r="S12" s="14">
        <v>0</v>
      </c>
      <c r="T12" s="14">
        <v>0</v>
      </c>
      <c r="U12" s="14">
        <v>509115</v>
      </c>
      <c r="V12" s="14">
        <v>0</v>
      </c>
      <c r="W12" s="14">
        <f t="shared" si="2"/>
        <v>509115</v>
      </c>
    </row>
    <row r="13" spans="1:23" x14ac:dyDescent="0.25">
      <c r="A13" s="172">
        <v>5</v>
      </c>
      <c r="B13" s="13" t="s">
        <v>75</v>
      </c>
      <c r="C13" s="13" t="s">
        <v>386</v>
      </c>
      <c r="D13" s="14"/>
      <c r="E13" s="193"/>
      <c r="F13" s="193"/>
      <c r="G13" s="193"/>
      <c r="H13" s="14"/>
      <c r="I13" s="14"/>
      <c r="J13" s="13"/>
      <c r="K13" s="14"/>
      <c r="L13" s="14"/>
      <c r="M13" s="14"/>
      <c r="N13" s="14"/>
      <c r="O13" s="14"/>
      <c r="P13" s="14"/>
      <c r="Q13" s="14"/>
      <c r="R13" s="14"/>
      <c r="S13" s="14"/>
      <c r="T13" s="14">
        <v>0</v>
      </c>
      <c r="U13" s="14">
        <v>0</v>
      </c>
      <c r="V13" s="14">
        <v>18542</v>
      </c>
      <c r="W13" s="14">
        <f t="shared" si="2"/>
        <v>18542</v>
      </c>
    </row>
    <row r="14" spans="1:23" x14ac:dyDescent="0.25">
      <c r="A14" s="172">
        <v>6</v>
      </c>
      <c r="B14" s="13" t="s">
        <v>76</v>
      </c>
      <c r="C14" s="13" t="s">
        <v>387</v>
      </c>
      <c r="D14" s="14"/>
      <c r="E14" s="193"/>
      <c r="F14" s="193"/>
      <c r="G14" s="193"/>
      <c r="H14" s="14"/>
      <c r="I14" s="14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14">
        <v>0</v>
      </c>
      <c r="U14" s="14">
        <v>0</v>
      </c>
      <c r="V14" s="14">
        <v>3556</v>
      </c>
      <c r="W14" s="14">
        <f t="shared" si="2"/>
        <v>3556</v>
      </c>
    </row>
    <row r="15" spans="1:23" x14ac:dyDescent="0.25">
      <c r="A15" s="172">
        <v>7</v>
      </c>
      <c r="B15" s="13" t="s">
        <v>77</v>
      </c>
      <c r="C15" s="13" t="s">
        <v>388</v>
      </c>
      <c r="D15" s="14"/>
      <c r="E15" s="193"/>
      <c r="F15" s="193"/>
      <c r="G15" s="193"/>
      <c r="H15" s="14"/>
      <c r="I15" s="14"/>
      <c r="J15" s="13"/>
      <c r="K15" s="14"/>
      <c r="L15" s="14"/>
      <c r="M15" s="14"/>
      <c r="N15" s="14"/>
      <c r="O15" s="14"/>
      <c r="P15" s="14"/>
      <c r="Q15" s="14"/>
      <c r="R15" s="14"/>
      <c r="S15" s="14"/>
      <c r="T15" s="14">
        <v>0</v>
      </c>
      <c r="U15" s="14">
        <v>0</v>
      </c>
      <c r="V15" s="14">
        <v>384</v>
      </c>
      <c r="W15" s="14">
        <f t="shared" si="2"/>
        <v>384</v>
      </c>
    </row>
    <row r="16" spans="1:23" ht="30" x14ac:dyDescent="0.25">
      <c r="A16" s="172">
        <v>8</v>
      </c>
      <c r="B16" s="13" t="s">
        <v>78</v>
      </c>
      <c r="C16" s="194" t="s">
        <v>390</v>
      </c>
      <c r="D16" s="14"/>
      <c r="E16" s="193"/>
      <c r="F16" s="193"/>
      <c r="G16" s="193"/>
      <c r="H16" s="14"/>
      <c r="I16" s="14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>
        <v>0</v>
      </c>
      <c r="U16" s="14">
        <v>0</v>
      </c>
      <c r="V16" s="14">
        <v>231875</v>
      </c>
      <c r="W16" s="14">
        <f t="shared" si="2"/>
        <v>231875</v>
      </c>
    </row>
    <row r="17" spans="1:23" x14ac:dyDescent="0.25">
      <c r="A17" s="172">
        <v>9</v>
      </c>
      <c r="B17" s="13" t="s">
        <v>79</v>
      </c>
      <c r="C17" s="13" t="s">
        <v>110</v>
      </c>
      <c r="D17" s="14">
        <v>0</v>
      </c>
      <c r="E17" s="193"/>
      <c r="F17" s="193"/>
      <c r="G17" s="193"/>
      <c r="H17" s="14">
        <v>0</v>
      </c>
      <c r="I17" s="14">
        <f>4500*1.27</f>
        <v>5715</v>
      </c>
      <c r="J17" s="13">
        <v>0</v>
      </c>
      <c r="K17" s="14">
        <v>5715</v>
      </c>
      <c r="L17" s="14">
        <v>0</v>
      </c>
      <c r="M17" s="14">
        <f t="shared" ref="M17" si="3">K17+L17</f>
        <v>5715</v>
      </c>
      <c r="N17" s="14"/>
      <c r="O17" s="14">
        <f t="shared" ref="O17" si="4">M17+N17</f>
        <v>5715</v>
      </c>
      <c r="P17" s="14">
        <v>20000</v>
      </c>
      <c r="Q17" s="14">
        <v>10200</v>
      </c>
      <c r="R17" s="14">
        <v>15000</v>
      </c>
      <c r="S17" s="14">
        <v>10000</v>
      </c>
      <c r="T17" s="14">
        <v>0</v>
      </c>
      <c r="U17" s="14">
        <v>1000</v>
      </c>
      <c r="V17" s="14">
        <v>0</v>
      </c>
      <c r="W17" s="14">
        <f t="shared" si="2"/>
        <v>1000</v>
      </c>
    </row>
    <row r="18" spans="1:23" x14ac:dyDescent="0.25">
      <c r="A18" s="172">
        <v>10</v>
      </c>
      <c r="B18" s="13" t="s">
        <v>80</v>
      </c>
      <c r="C18" s="13" t="s">
        <v>340</v>
      </c>
      <c r="D18" s="14"/>
      <c r="E18" s="193"/>
      <c r="F18" s="193"/>
      <c r="G18" s="193"/>
      <c r="H18" s="14"/>
      <c r="I18" s="14"/>
      <c r="J18" s="13"/>
      <c r="K18" s="14"/>
      <c r="L18" s="14"/>
      <c r="M18" s="14"/>
      <c r="N18" s="14"/>
      <c r="O18" s="14"/>
      <c r="P18" s="14">
        <v>0</v>
      </c>
      <c r="Q18" s="14">
        <v>591</v>
      </c>
      <c r="R18" s="14">
        <v>0</v>
      </c>
      <c r="S18" s="14">
        <v>3000</v>
      </c>
      <c r="T18" s="14">
        <v>9750</v>
      </c>
      <c r="U18" s="14">
        <v>520</v>
      </c>
      <c r="V18" s="14">
        <v>0</v>
      </c>
      <c r="W18" s="14">
        <f t="shared" si="2"/>
        <v>520</v>
      </c>
    </row>
    <row r="19" spans="1:23" x14ac:dyDescent="0.25">
      <c r="A19" s="172">
        <v>11</v>
      </c>
      <c r="B19" s="13" t="s">
        <v>81</v>
      </c>
      <c r="C19" s="13" t="s">
        <v>406</v>
      </c>
      <c r="D19" s="14"/>
      <c r="E19" s="193"/>
      <c r="F19" s="193"/>
      <c r="G19" s="193"/>
      <c r="H19" s="14"/>
      <c r="I19" s="14"/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14">
        <v>0</v>
      </c>
      <c r="U19" s="14">
        <v>0</v>
      </c>
      <c r="V19" s="14">
        <v>10217</v>
      </c>
      <c r="W19" s="14">
        <f t="shared" si="2"/>
        <v>10217</v>
      </c>
    </row>
    <row r="20" spans="1:23" s="190" customFormat="1" ht="14.45" customHeight="1" x14ac:dyDescent="0.25">
      <c r="A20" s="172">
        <v>12</v>
      </c>
      <c r="B20" s="13" t="s">
        <v>82</v>
      </c>
      <c r="C20" s="158"/>
      <c r="D20" s="49">
        <f t="shared" ref="D20:S20" si="5">SUM(D10:D18)</f>
        <v>22180</v>
      </c>
      <c r="E20" s="49">
        <f t="shared" si="5"/>
        <v>0</v>
      </c>
      <c r="F20" s="49">
        <f t="shared" si="5"/>
        <v>0</v>
      </c>
      <c r="G20" s="49">
        <f t="shared" si="5"/>
        <v>0</v>
      </c>
      <c r="H20" s="49">
        <f t="shared" si="5"/>
        <v>146485</v>
      </c>
      <c r="I20" s="49">
        <f t="shared" si="5"/>
        <v>5715</v>
      </c>
      <c r="J20" s="49">
        <f t="shared" si="5"/>
        <v>0</v>
      </c>
      <c r="K20" s="49">
        <f t="shared" si="5"/>
        <v>5715</v>
      </c>
      <c r="L20" s="49">
        <f t="shared" si="5"/>
        <v>19347</v>
      </c>
      <c r="M20" s="49">
        <f t="shared" si="5"/>
        <v>25062</v>
      </c>
      <c r="N20" s="49">
        <f t="shared" si="5"/>
        <v>0</v>
      </c>
      <c r="O20" s="49">
        <f t="shared" si="5"/>
        <v>25062</v>
      </c>
      <c r="P20" s="49">
        <f t="shared" si="5"/>
        <v>34000</v>
      </c>
      <c r="Q20" s="159">
        <f t="shared" si="5"/>
        <v>32650</v>
      </c>
      <c r="R20" s="159">
        <f t="shared" si="5"/>
        <v>47400</v>
      </c>
      <c r="S20" s="159">
        <f t="shared" si="5"/>
        <v>26400</v>
      </c>
      <c r="T20" s="159">
        <f>SUM(T10:T19)</f>
        <v>31250</v>
      </c>
      <c r="U20" s="159">
        <f>SUM(U10:U19)</f>
        <v>535214</v>
      </c>
      <c r="V20" s="159">
        <f>SUM(V10:V19)</f>
        <v>264574</v>
      </c>
      <c r="W20" s="159">
        <f>SUM(W10:W19)</f>
        <v>799788</v>
      </c>
    </row>
    <row r="21" spans="1:23" ht="0.75" customHeight="1" x14ac:dyDescent="0.25">
      <c r="A21" s="172">
        <v>31</v>
      </c>
      <c r="B21" s="13" t="s">
        <v>310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6"/>
    </row>
    <row r="23" spans="1:23" x14ac:dyDescent="0.25">
      <c r="P23" s="139" t="s">
        <v>278</v>
      </c>
      <c r="Q23" s="142">
        <f>Q20-'Kiadások 2m'!O152</f>
        <v>-273294</v>
      </c>
      <c r="R23" s="142">
        <f>R20-'Kiadások 2m'!P152</f>
        <v>-1118369</v>
      </c>
      <c r="S23" s="142">
        <f>S20-'Kiadások 2m'!Q152</f>
        <v>-124754</v>
      </c>
      <c r="T23" s="142">
        <f>T20-'Kiadások 2m'!R152</f>
        <v>0</v>
      </c>
      <c r="U23" s="142">
        <f>U20-'Kiadások 2m'!S152</f>
        <v>0</v>
      </c>
      <c r="V23" s="142">
        <f>V20-'Kiadások 2m'!T152</f>
        <v>0</v>
      </c>
      <c r="W23" s="142">
        <f>W20-'Kiadások 2m'!U152</f>
        <v>0</v>
      </c>
    </row>
    <row r="25" spans="1:23" x14ac:dyDescent="0.25">
      <c r="L25" s="142"/>
      <c r="N25" s="142"/>
    </row>
  </sheetData>
  <mergeCells count="25">
    <mergeCell ref="A1:T1"/>
    <mergeCell ref="F7:F9"/>
    <mergeCell ref="G7:G9"/>
    <mergeCell ref="R7:R9"/>
    <mergeCell ref="B7:B9"/>
    <mergeCell ref="C7:C9"/>
    <mergeCell ref="D7:D9"/>
    <mergeCell ref="E7:E9"/>
    <mergeCell ref="A7:A9"/>
    <mergeCell ref="Q7:Q9"/>
    <mergeCell ref="H7:H9"/>
    <mergeCell ref="I7:I9"/>
    <mergeCell ref="P7:P9"/>
    <mergeCell ref="J7:J9"/>
    <mergeCell ref="V7:V9"/>
    <mergeCell ref="W7:W9"/>
    <mergeCell ref="A2:W3"/>
    <mergeCell ref="T7:T9"/>
    <mergeCell ref="S7:S9"/>
    <mergeCell ref="K7:K9"/>
    <mergeCell ref="L7:L9"/>
    <mergeCell ref="M7:M9"/>
    <mergeCell ref="N7:N9"/>
    <mergeCell ref="O7:O9"/>
    <mergeCell ref="U7:U9"/>
  </mergeCells>
  <phoneticPr fontId="14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5" orientation="portrait" r:id="rId1"/>
  <headerFooter>
    <oddFooter>&amp;P. oldal</oddFooter>
  </headerFooter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T46"/>
  <sheetViews>
    <sheetView view="pageBreakPreview" zoomScaleNormal="100" zoomScaleSheetLayoutView="86" workbookViewId="0">
      <selection sqref="A1:T1"/>
    </sheetView>
  </sheetViews>
  <sheetFormatPr defaultColWidth="9.140625" defaultRowHeight="15.75" x14ac:dyDescent="0.25"/>
  <cols>
    <col min="1" max="2" width="9.140625" style="160"/>
    <col min="3" max="3" width="45.85546875" style="160" customWidth="1"/>
    <col min="4" max="4" width="3" style="160" hidden="1" customWidth="1"/>
    <col min="5" max="5" width="11" style="160" hidden="1" customWidth="1"/>
    <col min="6" max="6" width="15.42578125" style="160" hidden="1" customWidth="1"/>
    <col min="7" max="7" width="14.42578125" style="160" hidden="1" customWidth="1"/>
    <col min="8" max="8" width="15.42578125" style="160" hidden="1" customWidth="1"/>
    <col min="9" max="9" width="14.140625" style="160" hidden="1" customWidth="1"/>
    <col min="10" max="10" width="13.5703125" style="160" hidden="1" customWidth="1"/>
    <col min="11" max="11" width="0.42578125" style="160" hidden="1" customWidth="1"/>
    <col min="12" max="12" width="17.140625" style="160" hidden="1" customWidth="1"/>
    <col min="13" max="13" width="16.5703125" style="160" hidden="1" customWidth="1"/>
    <col min="14" max="16" width="20.85546875" style="160" hidden="1" customWidth="1"/>
    <col min="17" max="17" width="16" style="160" customWidth="1"/>
    <col min="18" max="18" width="17.140625" style="160" customWidth="1"/>
    <col min="19" max="20" width="14.85546875" style="160" customWidth="1"/>
    <col min="21" max="16384" width="9.140625" style="160"/>
  </cols>
  <sheetData>
    <row r="1" spans="1:20" ht="26.25" customHeight="1" x14ac:dyDescent="0.25">
      <c r="A1" s="372" t="s">
        <v>418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</row>
    <row r="2" spans="1:20" x14ac:dyDescent="0.25">
      <c r="B2" s="161"/>
      <c r="C2" s="161"/>
    </row>
    <row r="3" spans="1:20" ht="32.25" customHeight="1" x14ac:dyDescent="0.25">
      <c r="A3" s="373" t="s">
        <v>367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5" spans="1:20" x14ac:dyDescent="0.25">
      <c r="P5" s="162" t="s">
        <v>71</v>
      </c>
      <c r="Q5" s="162"/>
      <c r="R5" s="162"/>
      <c r="S5" s="162"/>
      <c r="T5" s="162" t="s">
        <v>56</v>
      </c>
    </row>
    <row r="6" spans="1:20" x14ac:dyDescent="0.25">
      <c r="A6" s="163"/>
      <c r="B6" s="164" t="s">
        <v>272</v>
      </c>
      <c r="C6" s="164" t="s">
        <v>273</v>
      </c>
      <c r="D6" s="164"/>
      <c r="E6" s="164"/>
      <c r="F6" s="164"/>
      <c r="G6" s="164"/>
      <c r="H6" s="164"/>
      <c r="I6" s="164"/>
      <c r="J6" s="164"/>
      <c r="K6" s="164"/>
      <c r="L6" s="164"/>
      <c r="M6" s="164" t="s">
        <v>274</v>
      </c>
      <c r="N6" s="164" t="s">
        <v>274</v>
      </c>
      <c r="O6" s="164" t="s">
        <v>274</v>
      </c>
      <c r="P6" s="164" t="s">
        <v>274</v>
      </c>
      <c r="Q6" s="164" t="s">
        <v>274</v>
      </c>
      <c r="R6" s="164" t="s">
        <v>275</v>
      </c>
      <c r="S6" s="164" t="s">
        <v>312</v>
      </c>
      <c r="T6" s="164" t="s">
        <v>277</v>
      </c>
    </row>
    <row r="7" spans="1:20" ht="15" customHeight="1" x14ac:dyDescent="0.25">
      <c r="A7" s="377">
        <v>1</v>
      </c>
      <c r="B7" s="378" t="s">
        <v>117</v>
      </c>
      <c r="C7" s="380" t="s">
        <v>55</v>
      </c>
      <c r="D7" s="341" t="s">
        <v>104</v>
      </c>
      <c r="E7" s="334" t="s">
        <v>113</v>
      </c>
      <c r="F7" s="382" t="s">
        <v>109</v>
      </c>
      <c r="G7" s="383" t="s">
        <v>111</v>
      </c>
      <c r="H7" s="382" t="s">
        <v>115</v>
      </c>
      <c r="I7" s="375" t="s">
        <v>111</v>
      </c>
      <c r="J7" s="385" t="s">
        <v>260</v>
      </c>
      <c r="K7" s="375" t="s">
        <v>111</v>
      </c>
      <c r="L7" s="340" t="s">
        <v>262</v>
      </c>
      <c r="M7" s="340" t="s">
        <v>309</v>
      </c>
      <c r="N7" s="340" t="s">
        <v>311</v>
      </c>
      <c r="O7" s="339" t="s">
        <v>327</v>
      </c>
      <c r="P7" s="339" t="s">
        <v>343</v>
      </c>
      <c r="Q7" s="339" t="s">
        <v>366</v>
      </c>
      <c r="R7" s="332" t="s">
        <v>385</v>
      </c>
      <c r="S7" s="332" t="s">
        <v>111</v>
      </c>
      <c r="T7" s="332" t="s">
        <v>384</v>
      </c>
    </row>
    <row r="8" spans="1:20" ht="12.75" customHeight="1" x14ac:dyDescent="0.25">
      <c r="A8" s="377"/>
      <c r="B8" s="379"/>
      <c r="C8" s="381"/>
      <c r="D8" s="343"/>
      <c r="E8" s="365"/>
      <c r="F8" s="382"/>
      <c r="G8" s="383"/>
      <c r="H8" s="383"/>
      <c r="I8" s="375"/>
      <c r="J8" s="385"/>
      <c r="K8" s="375"/>
      <c r="L8" s="340"/>
      <c r="M8" s="340"/>
      <c r="N8" s="340"/>
      <c r="O8" s="340"/>
      <c r="P8" s="340"/>
      <c r="Q8" s="340"/>
      <c r="R8" s="333"/>
      <c r="S8" s="333"/>
      <c r="T8" s="333"/>
    </row>
    <row r="9" spans="1:20" ht="47.25" customHeight="1" x14ac:dyDescent="0.25">
      <c r="A9" s="378"/>
      <c r="B9" s="379"/>
      <c r="C9" s="381"/>
      <c r="D9" s="343"/>
      <c r="E9" s="365"/>
      <c r="F9" s="380"/>
      <c r="G9" s="384"/>
      <c r="H9" s="384"/>
      <c r="I9" s="376"/>
      <c r="J9" s="386"/>
      <c r="K9" s="376"/>
      <c r="L9" s="341"/>
      <c r="M9" s="341"/>
      <c r="N9" s="341"/>
      <c r="O9" s="341"/>
      <c r="P9" s="341"/>
      <c r="Q9" s="341"/>
      <c r="R9" s="334"/>
      <c r="S9" s="334"/>
      <c r="T9" s="334"/>
    </row>
    <row r="10" spans="1:20" x14ac:dyDescent="0.25">
      <c r="A10" s="165">
        <v>2</v>
      </c>
      <c r="B10" s="165" t="s">
        <v>72</v>
      </c>
      <c r="C10" s="167" t="s">
        <v>118</v>
      </c>
      <c r="D10" s="199" t="e">
        <f>D11+D12+#REF!+#REF!+#REF!+#REF!+D14</f>
        <v>#REF!</v>
      </c>
      <c r="E10" s="199" t="e">
        <f>E11+E12+#REF!+#REF!+#REF!+#REF!+E14</f>
        <v>#REF!</v>
      </c>
      <c r="F10" s="199" t="e">
        <f>F11+F12+#REF!+F14</f>
        <v>#REF!</v>
      </c>
      <c r="G10" s="199" t="e">
        <f>G11+G12+#REF!+#REF!+#REF!+#REF!+G14</f>
        <v>#REF!</v>
      </c>
      <c r="H10" s="199" t="e">
        <f>H11+#REF!+H14</f>
        <v>#REF!</v>
      </c>
      <c r="I10" s="166">
        <v>0</v>
      </c>
      <c r="J10" s="168" t="e">
        <f>H10+I10</f>
        <v>#REF!</v>
      </c>
      <c r="K10" s="168">
        <v>-34344</v>
      </c>
      <c r="L10" s="168" t="e">
        <f>J10+K10</f>
        <v>#REF!</v>
      </c>
      <c r="M10" s="168" t="e">
        <f>M11+M12+#REF!+M13+M14</f>
        <v>#REF!</v>
      </c>
      <c r="N10" s="168">
        <f>SUM(N11:N22)</f>
        <v>132149</v>
      </c>
      <c r="O10" s="168">
        <f>SUM(O11:O22)</f>
        <v>88281</v>
      </c>
      <c r="P10" s="168">
        <f>SUM(P11:P22)</f>
        <v>373698</v>
      </c>
      <c r="Q10" s="168">
        <f>SUM(Q11:Q22)</f>
        <v>53915</v>
      </c>
      <c r="R10" s="168">
        <f>SUM(R11:R22)</f>
        <v>53915</v>
      </c>
      <c r="S10" s="168">
        <f t="shared" ref="S10:T10" si="0">SUM(S11:S22)</f>
        <v>0</v>
      </c>
      <c r="T10" s="168">
        <f t="shared" si="0"/>
        <v>53915</v>
      </c>
    </row>
    <row r="11" spans="1:20" ht="31.5" x14ac:dyDescent="0.25">
      <c r="A11" s="165">
        <v>3</v>
      </c>
      <c r="B11" s="165" t="s">
        <v>73</v>
      </c>
      <c r="C11" s="200" t="s">
        <v>119</v>
      </c>
      <c r="D11" s="201">
        <v>145848</v>
      </c>
      <c r="E11" s="166">
        <v>52481</v>
      </c>
      <c r="F11" s="166">
        <v>64676</v>
      </c>
      <c r="G11" s="163">
        <v>0</v>
      </c>
      <c r="H11" s="166">
        <v>64676</v>
      </c>
      <c r="I11" s="166"/>
      <c r="J11" s="166">
        <f>H11+I11</f>
        <v>64676</v>
      </c>
      <c r="K11" s="166">
        <v>-34344</v>
      </c>
      <c r="L11" s="166">
        <f>J11+K11</f>
        <v>30332</v>
      </c>
      <c r="M11" s="166">
        <v>30332</v>
      </c>
      <c r="N11" s="166">
        <v>30332</v>
      </c>
      <c r="O11" s="166">
        <v>30332</v>
      </c>
      <c r="P11" s="166">
        <v>30332</v>
      </c>
      <c r="Q11" s="166">
        <v>30332</v>
      </c>
      <c r="R11" s="166">
        <v>30332</v>
      </c>
      <c r="S11" s="166">
        <v>0</v>
      </c>
      <c r="T11" s="166">
        <v>30332</v>
      </c>
    </row>
    <row r="12" spans="1:20" x14ac:dyDescent="0.25">
      <c r="A12" s="165">
        <v>4</v>
      </c>
      <c r="B12" s="165" t="s">
        <v>74</v>
      </c>
      <c r="C12" s="200" t="s">
        <v>267</v>
      </c>
      <c r="D12" s="201">
        <v>18176</v>
      </c>
      <c r="E12" s="166">
        <v>0</v>
      </c>
      <c r="F12" s="166">
        <v>0</v>
      </c>
      <c r="G12" s="163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15425</v>
      </c>
      <c r="N12" s="166">
        <v>44859</v>
      </c>
      <c r="O12" s="166">
        <v>30819</v>
      </c>
      <c r="P12" s="166">
        <v>140784</v>
      </c>
      <c r="Q12" s="166">
        <v>0</v>
      </c>
      <c r="R12" s="166">
        <v>0</v>
      </c>
      <c r="S12" s="166">
        <v>0</v>
      </c>
      <c r="T12" s="166">
        <v>0</v>
      </c>
    </row>
    <row r="13" spans="1:20" ht="31.5" x14ac:dyDescent="0.25">
      <c r="A13" s="165">
        <v>5</v>
      </c>
      <c r="B13" s="165" t="s">
        <v>75</v>
      </c>
      <c r="C13" s="200" t="s">
        <v>268</v>
      </c>
      <c r="D13" s="201"/>
      <c r="E13" s="166"/>
      <c r="F13" s="166">
        <v>0</v>
      </c>
      <c r="G13" s="163"/>
      <c r="H13" s="166"/>
      <c r="I13" s="166"/>
      <c r="J13" s="166"/>
      <c r="K13" s="166"/>
      <c r="L13" s="166">
        <v>0</v>
      </c>
      <c r="M13" s="166">
        <v>23410</v>
      </c>
      <c r="N13" s="166">
        <v>23410</v>
      </c>
      <c r="O13" s="166">
        <v>23582</v>
      </c>
      <c r="P13" s="166">
        <v>23582</v>
      </c>
      <c r="Q13" s="166">
        <v>23583</v>
      </c>
      <c r="R13" s="166">
        <v>23583</v>
      </c>
      <c r="S13" s="166">
        <v>0</v>
      </c>
      <c r="T13" s="166">
        <v>23583</v>
      </c>
    </row>
    <row r="14" spans="1:20" ht="36.75" customHeight="1" x14ac:dyDescent="0.25">
      <c r="A14" s="165">
        <v>6</v>
      </c>
      <c r="B14" s="165" t="s">
        <v>76</v>
      </c>
      <c r="C14" s="202" t="s">
        <v>292</v>
      </c>
      <c r="D14" s="201">
        <v>223195</v>
      </c>
      <c r="E14" s="166">
        <v>352792</v>
      </c>
      <c r="F14" s="166">
        <v>91424</v>
      </c>
      <c r="G14" s="166">
        <v>0</v>
      </c>
      <c r="H14" s="166">
        <v>91424</v>
      </c>
      <c r="I14" s="166"/>
      <c r="J14" s="166">
        <v>91424</v>
      </c>
      <c r="K14" s="166">
        <v>0</v>
      </c>
      <c r="L14" s="166">
        <v>91424</v>
      </c>
      <c r="M14" s="166">
        <v>0</v>
      </c>
      <c r="N14" s="166">
        <v>33548</v>
      </c>
      <c r="O14" s="166">
        <v>3548</v>
      </c>
      <c r="P14" s="166">
        <v>0</v>
      </c>
      <c r="Q14" s="166">
        <v>0</v>
      </c>
      <c r="R14" s="166">
        <v>0</v>
      </c>
      <c r="S14" s="166">
        <v>0</v>
      </c>
      <c r="T14" s="166">
        <v>0</v>
      </c>
    </row>
    <row r="15" spans="1:20" ht="20.25" customHeight="1" x14ac:dyDescent="0.25">
      <c r="A15" s="165">
        <v>7</v>
      </c>
      <c r="B15" s="165" t="s">
        <v>77</v>
      </c>
      <c r="C15" s="202" t="s">
        <v>335</v>
      </c>
      <c r="D15" s="201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>
        <v>0</v>
      </c>
      <c r="P15" s="166">
        <v>75000</v>
      </c>
      <c r="Q15" s="166">
        <v>0</v>
      </c>
      <c r="R15" s="166">
        <v>0</v>
      </c>
      <c r="S15" s="166">
        <v>0</v>
      </c>
      <c r="T15" s="166">
        <v>0</v>
      </c>
    </row>
    <row r="16" spans="1:20" ht="36.75" customHeight="1" x14ac:dyDescent="0.25">
      <c r="A16" s="165">
        <v>8</v>
      </c>
      <c r="B16" s="165" t="s">
        <v>78</v>
      </c>
      <c r="C16" s="202" t="s">
        <v>336</v>
      </c>
      <c r="D16" s="201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>
        <v>0</v>
      </c>
      <c r="P16" s="166">
        <v>33000</v>
      </c>
      <c r="Q16" s="166">
        <v>0</v>
      </c>
      <c r="R16" s="166">
        <v>0</v>
      </c>
      <c r="S16" s="166">
        <v>0</v>
      </c>
      <c r="T16" s="166">
        <v>0</v>
      </c>
    </row>
    <row r="17" spans="1:20" ht="20.25" customHeight="1" x14ac:dyDescent="0.25">
      <c r="A17" s="165">
        <v>9</v>
      </c>
      <c r="B17" s="165" t="s">
        <v>79</v>
      </c>
      <c r="C17" s="202" t="s">
        <v>337</v>
      </c>
      <c r="D17" s="201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>
        <v>0</v>
      </c>
      <c r="P17" s="166">
        <v>1000</v>
      </c>
      <c r="Q17" s="166">
        <v>0</v>
      </c>
      <c r="R17" s="166">
        <v>0</v>
      </c>
      <c r="S17" s="166">
        <v>0</v>
      </c>
      <c r="T17" s="166">
        <v>0</v>
      </c>
    </row>
    <row r="18" spans="1:20" ht="24" customHeight="1" x14ac:dyDescent="0.25">
      <c r="A18" s="165">
        <v>10</v>
      </c>
      <c r="B18" s="165" t="s">
        <v>80</v>
      </c>
      <c r="C18" s="202" t="s">
        <v>342</v>
      </c>
      <c r="D18" s="201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>
        <v>0</v>
      </c>
      <c r="P18" s="166">
        <v>30000</v>
      </c>
      <c r="Q18" s="166">
        <v>0</v>
      </c>
      <c r="R18" s="166">
        <v>0</v>
      </c>
      <c r="S18" s="166">
        <v>0</v>
      </c>
      <c r="T18" s="166">
        <v>0</v>
      </c>
    </row>
    <row r="19" spans="1:20" x14ac:dyDescent="0.25">
      <c r="A19" s="165">
        <v>11</v>
      </c>
      <c r="B19" s="165" t="s">
        <v>81</v>
      </c>
      <c r="C19" s="200" t="s">
        <v>326</v>
      </c>
      <c r="D19" s="201"/>
      <c r="E19" s="166"/>
      <c r="F19" s="166"/>
      <c r="G19" s="163"/>
      <c r="H19" s="166"/>
      <c r="I19" s="166"/>
      <c r="J19" s="166"/>
      <c r="K19" s="166"/>
      <c r="L19" s="166"/>
      <c r="M19" s="166"/>
      <c r="N19" s="166"/>
      <c r="O19" s="166">
        <v>0</v>
      </c>
      <c r="P19" s="166">
        <v>2000</v>
      </c>
      <c r="Q19" s="166">
        <v>0</v>
      </c>
      <c r="R19" s="166">
        <v>0</v>
      </c>
      <c r="S19" s="166">
        <v>0</v>
      </c>
      <c r="T19" s="166">
        <v>0</v>
      </c>
    </row>
    <row r="20" spans="1:20" x14ac:dyDescent="0.25">
      <c r="A20" s="165">
        <v>12</v>
      </c>
      <c r="B20" s="165" t="s">
        <v>82</v>
      </c>
      <c r="C20" s="200" t="s">
        <v>338</v>
      </c>
      <c r="D20" s="201"/>
      <c r="E20" s="166"/>
      <c r="F20" s="166"/>
      <c r="G20" s="163"/>
      <c r="H20" s="166"/>
      <c r="I20" s="166"/>
      <c r="J20" s="166"/>
      <c r="K20" s="166"/>
      <c r="L20" s="166"/>
      <c r="M20" s="166"/>
      <c r="N20" s="166"/>
      <c r="O20" s="166">
        <v>0</v>
      </c>
      <c r="P20" s="166">
        <v>9000</v>
      </c>
      <c r="Q20" s="166">
        <v>0</v>
      </c>
      <c r="R20" s="166">
        <v>0</v>
      </c>
      <c r="S20" s="166">
        <v>0</v>
      </c>
      <c r="T20" s="166">
        <v>0</v>
      </c>
    </row>
    <row r="21" spans="1:20" x14ac:dyDescent="0.25">
      <c r="A21" s="165">
        <v>13</v>
      </c>
      <c r="B21" s="165" t="s">
        <v>83</v>
      </c>
      <c r="C21" s="200" t="s">
        <v>325</v>
      </c>
      <c r="D21" s="201"/>
      <c r="E21" s="166"/>
      <c r="F21" s="166"/>
      <c r="G21" s="163"/>
      <c r="H21" s="166"/>
      <c r="I21" s="166"/>
      <c r="J21" s="166"/>
      <c r="K21" s="166"/>
      <c r="L21" s="166"/>
      <c r="M21" s="166"/>
      <c r="N21" s="166"/>
      <c r="O21" s="166">
        <v>0</v>
      </c>
      <c r="P21" s="166">
        <v>5000</v>
      </c>
      <c r="Q21" s="166">
        <v>0</v>
      </c>
      <c r="R21" s="166">
        <v>0</v>
      </c>
      <c r="S21" s="166">
        <v>0</v>
      </c>
      <c r="T21" s="166">
        <v>0</v>
      </c>
    </row>
    <row r="22" spans="1:20" ht="31.5" x14ac:dyDescent="0.25">
      <c r="A22" s="165">
        <v>14</v>
      </c>
      <c r="B22" s="165" t="s">
        <v>84</v>
      </c>
      <c r="C22" s="200" t="s">
        <v>339</v>
      </c>
      <c r="D22" s="201"/>
      <c r="E22" s="166"/>
      <c r="F22" s="166"/>
      <c r="G22" s="163"/>
      <c r="H22" s="166"/>
      <c r="I22" s="166"/>
      <c r="J22" s="166"/>
      <c r="K22" s="166"/>
      <c r="L22" s="166"/>
      <c r="M22" s="166"/>
      <c r="N22" s="166"/>
      <c r="O22" s="166">
        <v>0</v>
      </c>
      <c r="P22" s="166">
        <v>24000</v>
      </c>
      <c r="Q22" s="166">
        <v>0</v>
      </c>
      <c r="R22" s="166">
        <v>0</v>
      </c>
      <c r="S22" s="166">
        <v>0</v>
      </c>
      <c r="T22" s="166">
        <v>0</v>
      </c>
    </row>
    <row r="23" spans="1:20" s="204" customFormat="1" x14ac:dyDescent="0.25">
      <c r="A23" s="165">
        <v>15</v>
      </c>
      <c r="B23" s="165" t="s">
        <v>85</v>
      </c>
      <c r="C23" s="203" t="s">
        <v>120</v>
      </c>
      <c r="D23" s="199">
        <v>50000</v>
      </c>
      <c r="E23" s="168">
        <v>7312</v>
      </c>
      <c r="F23" s="168">
        <v>50000</v>
      </c>
      <c r="G23" s="168">
        <v>489830</v>
      </c>
      <c r="H23" s="168">
        <f>G23+F23</f>
        <v>539830</v>
      </c>
      <c r="I23" s="168">
        <f>'Kiadások 2m'!J148</f>
        <v>-212854</v>
      </c>
      <c r="J23" s="168">
        <f>H23+I23</f>
        <v>326976</v>
      </c>
      <c r="K23" s="168">
        <f>'Kiadások 2m'!L148</f>
        <v>-156406</v>
      </c>
      <c r="L23" s="168">
        <f>J23+K23</f>
        <v>170570</v>
      </c>
      <c r="M23" s="168">
        <v>298576</v>
      </c>
      <c r="N23" s="168">
        <v>542717</v>
      </c>
      <c r="O23" s="168">
        <v>430053</v>
      </c>
      <c r="P23" s="168">
        <v>218351</v>
      </c>
      <c r="Q23" s="168">
        <f>'Kiadások 2m'!R17</f>
        <v>222074</v>
      </c>
      <c r="R23" s="168">
        <f>'Kiadások 2m'!S17</f>
        <v>202181</v>
      </c>
      <c r="S23" s="168">
        <f>'Kiadások 2m'!T17</f>
        <v>-3494</v>
      </c>
      <c r="T23" s="168">
        <f>'Kiadások 2m'!U17</f>
        <v>198687</v>
      </c>
    </row>
    <row r="24" spans="1:20" s="204" customFormat="1" x14ac:dyDescent="0.25">
      <c r="A24" s="165">
        <v>16</v>
      </c>
      <c r="B24" s="165" t="s">
        <v>86</v>
      </c>
      <c r="C24" s="167" t="s">
        <v>121</v>
      </c>
      <c r="D24" s="199" t="e">
        <f>D10+D23</f>
        <v>#REF!</v>
      </c>
      <c r="E24" s="199" t="e">
        <f>E10+E23</f>
        <v>#REF!</v>
      </c>
      <c r="F24" s="199" t="e">
        <f>F10+F23</f>
        <v>#REF!</v>
      </c>
      <c r="G24" s="199" t="e">
        <f>G10+G23</f>
        <v>#REF!</v>
      </c>
      <c r="H24" s="199" t="e">
        <f>H10+H23</f>
        <v>#REF!</v>
      </c>
      <c r="I24" s="168">
        <f>I23+I10</f>
        <v>-212854</v>
      </c>
      <c r="J24" s="168" t="e">
        <f>J10+J23</f>
        <v>#REF!</v>
      </c>
      <c r="K24" s="168">
        <f>K23+K10</f>
        <v>-190750</v>
      </c>
      <c r="L24" s="168" t="e">
        <f>L10+L23</f>
        <v>#REF!</v>
      </c>
      <c r="M24" s="168" t="e">
        <f>M23+M10</f>
        <v>#REF!</v>
      </c>
      <c r="N24" s="168">
        <f>SUM(N10,N23)</f>
        <v>674866</v>
      </c>
      <c r="O24" s="168">
        <f>SUM(O10,O23)</f>
        <v>518334</v>
      </c>
      <c r="P24" s="168">
        <f>SUM(P10,P23)</f>
        <v>592049</v>
      </c>
      <c r="Q24" s="168">
        <f>SUM(Q10,Q23)</f>
        <v>275989</v>
      </c>
      <c r="R24" s="168">
        <f>SUM(R10,R23)</f>
        <v>256096</v>
      </c>
      <c r="S24" s="168">
        <f t="shared" ref="S24:T24" si="1">SUM(S10,S23)</f>
        <v>-3494</v>
      </c>
      <c r="T24" s="168">
        <f t="shared" si="1"/>
        <v>252602</v>
      </c>
    </row>
    <row r="25" spans="1:20" ht="15.6" customHeight="1" x14ac:dyDescent="0.25"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</row>
    <row r="26" spans="1:20" ht="18.600000000000001" customHeight="1" x14ac:dyDescent="0.25">
      <c r="B26" s="197"/>
      <c r="C26" s="198"/>
      <c r="D26" s="4"/>
      <c r="E26" s="4"/>
      <c r="F26" s="41"/>
      <c r="G26" s="41"/>
      <c r="H26" s="41"/>
      <c r="I26" s="139"/>
    </row>
    <row r="27" spans="1:20" x14ac:dyDescent="0.25">
      <c r="M27" s="160" t="s">
        <v>278</v>
      </c>
      <c r="N27" s="170">
        <f>N24-SUM('Kiadások 2m'!O148:O149)</f>
        <v>0</v>
      </c>
      <c r="O27" s="170">
        <f>O24-SUM('Kiadások 2m'!P148:P149)</f>
        <v>0</v>
      </c>
      <c r="P27" s="170">
        <f>P24-SUM('Kiadások 2m'!Q148:Q149)</f>
        <v>0</v>
      </c>
      <c r="Q27" s="170">
        <f>Q24-SUM('Kiadások 2m'!R148:R149)</f>
        <v>0</v>
      </c>
      <c r="R27" s="170">
        <f>R24-SUM('Kiadások 2m'!S148:S149)</f>
        <v>0</v>
      </c>
      <c r="S27" s="170">
        <f>S24-SUM('Kiadások 2m'!T148:T149)</f>
        <v>0</v>
      </c>
      <c r="T27" s="170">
        <f>T24-SUM('Kiadások 2m'!U148:U149)</f>
        <v>0</v>
      </c>
    </row>
    <row r="46" ht="27.75" customHeight="1" x14ac:dyDescent="0.25"/>
  </sheetData>
  <mergeCells count="23">
    <mergeCell ref="I7:I9"/>
    <mergeCell ref="J7:J9"/>
    <mergeCell ref="N7:N9"/>
    <mergeCell ref="M7:M9"/>
    <mergeCell ref="R7:R9"/>
    <mergeCell ref="Q7:Q9"/>
    <mergeCell ref="P7:P9"/>
    <mergeCell ref="A1:T1"/>
    <mergeCell ref="S7:S9"/>
    <mergeCell ref="T7:T9"/>
    <mergeCell ref="A3:T3"/>
    <mergeCell ref="B25:L25"/>
    <mergeCell ref="K7:K9"/>
    <mergeCell ref="L7:L9"/>
    <mergeCell ref="O7:O9"/>
    <mergeCell ref="A7:A9"/>
    <mergeCell ref="B7:B9"/>
    <mergeCell ref="C7:C9"/>
    <mergeCell ref="D7:D9"/>
    <mergeCell ref="E7:E9"/>
    <mergeCell ref="F7:F9"/>
    <mergeCell ref="G7:G9"/>
    <mergeCell ref="H7:H9"/>
  </mergeCells>
  <phoneticPr fontId="14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7" fitToHeight="0" orientation="portrait" r:id="rId1"/>
  <headerFooter>
    <oddFooter>&amp;P. oldal</oddFooter>
  </headerFooter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30"/>
  <sheetViews>
    <sheetView view="pageBreakPreview" zoomScaleNormal="100" zoomScaleSheetLayoutView="100" workbookViewId="0">
      <selection sqref="A1:H1"/>
    </sheetView>
  </sheetViews>
  <sheetFormatPr defaultColWidth="9.140625" defaultRowHeight="15" x14ac:dyDescent="0.25"/>
  <cols>
    <col min="1" max="1" width="9.140625" style="220"/>
    <col min="2" max="2" width="9.5703125" style="205" customWidth="1"/>
    <col min="3" max="3" width="43" style="225" customWidth="1"/>
    <col min="4" max="4" width="16.42578125" style="225" customWidth="1"/>
    <col min="5" max="5" width="16.140625" style="225" customWidth="1"/>
    <col min="6" max="7" width="13.5703125" style="225" customWidth="1"/>
    <col min="8" max="8" width="5.42578125" style="205" hidden="1" customWidth="1"/>
    <col min="9" max="9" width="10.85546875" style="205" customWidth="1"/>
    <col min="10" max="10" width="9.140625" style="205" hidden="1" customWidth="1"/>
    <col min="11" max="16384" width="9.140625" style="205"/>
  </cols>
  <sheetData>
    <row r="1" spans="1:11" ht="29.25" customHeight="1" x14ac:dyDescent="0.25">
      <c r="A1" s="347" t="s">
        <v>419</v>
      </c>
      <c r="B1" s="347"/>
      <c r="C1" s="347"/>
      <c r="D1" s="347"/>
      <c r="E1" s="347"/>
      <c r="F1" s="347"/>
      <c r="G1" s="347"/>
      <c r="H1" s="347"/>
      <c r="I1" s="298"/>
      <c r="J1" s="298"/>
      <c r="K1" s="298"/>
    </row>
    <row r="2" spans="1:11" ht="44.25" customHeight="1" x14ac:dyDescent="0.25">
      <c r="A2" s="388" t="s">
        <v>377</v>
      </c>
      <c r="B2" s="388"/>
      <c r="C2" s="388"/>
      <c r="D2" s="388"/>
      <c r="E2" s="388"/>
      <c r="F2" s="388"/>
      <c r="G2" s="388"/>
    </row>
    <row r="3" spans="1:11" ht="13.5" customHeight="1" x14ac:dyDescent="0.25">
      <c r="A3" s="132"/>
      <c r="B3" s="206" t="s">
        <v>272</v>
      </c>
      <c r="C3" s="207" t="s">
        <v>273</v>
      </c>
      <c r="D3" s="207" t="s">
        <v>274</v>
      </c>
      <c r="E3" s="207" t="s">
        <v>275</v>
      </c>
      <c r="F3" s="207" t="s">
        <v>276</v>
      </c>
      <c r="G3" s="207" t="s">
        <v>277</v>
      </c>
    </row>
    <row r="4" spans="1:11" x14ac:dyDescent="0.25">
      <c r="A4" s="132"/>
      <c r="B4" s="208"/>
      <c r="C4" s="209"/>
      <c r="D4" s="210"/>
      <c r="E4" s="387" t="s">
        <v>122</v>
      </c>
      <c r="F4" s="387"/>
      <c r="G4" s="387"/>
    </row>
    <row r="5" spans="1:11" ht="59.25" customHeight="1" x14ac:dyDescent="0.25">
      <c r="A5" s="132">
        <v>1</v>
      </c>
      <c r="B5" s="208" t="s">
        <v>58</v>
      </c>
      <c r="C5" s="211" t="s">
        <v>123</v>
      </c>
      <c r="D5" s="212" t="s">
        <v>363</v>
      </c>
      <c r="E5" s="212" t="s">
        <v>364</v>
      </c>
      <c r="F5" s="212" t="s">
        <v>365</v>
      </c>
      <c r="G5" s="212" t="s">
        <v>376</v>
      </c>
      <c r="H5" s="213"/>
      <c r="I5" s="214"/>
    </row>
    <row r="6" spans="1:11" ht="14.25" customHeight="1" x14ac:dyDescent="0.25">
      <c r="A6" s="132">
        <v>2</v>
      </c>
      <c r="B6" s="132" t="s">
        <v>72</v>
      </c>
      <c r="C6" s="209" t="s">
        <v>124</v>
      </c>
      <c r="D6" s="278">
        <f>'Bevételek 1m'!V175</f>
        <v>405000</v>
      </c>
      <c r="E6" s="278">
        <f>D6*1.2</f>
        <v>486000</v>
      </c>
      <c r="F6" s="278">
        <f>E6*1.2</f>
        <v>583200</v>
      </c>
      <c r="G6" s="278">
        <f>F6*1.2</f>
        <v>699840</v>
      </c>
    </row>
    <row r="7" spans="1:11" ht="14.25" customHeight="1" x14ac:dyDescent="0.25">
      <c r="A7" s="132">
        <v>3</v>
      </c>
      <c r="B7" s="132" t="s">
        <v>73</v>
      </c>
      <c r="C7" s="215" t="s">
        <v>324</v>
      </c>
      <c r="D7" s="278">
        <f>'Bevételek 1m'!V162</f>
        <v>2206388</v>
      </c>
      <c r="E7" s="278">
        <f>D7*1.2-1</f>
        <v>2647664.6</v>
      </c>
      <c r="F7" s="278">
        <f t="shared" ref="F7:G7" si="0">E7*1.2</f>
        <v>3177197.52</v>
      </c>
      <c r="G7" s="278">
        <f t="shared" si="0"/>
        <v>3812637.0239999997</v>
      </c>
      <c r="H7" s="216">
        <f t="shared" ref="H7:H17" si="1">G7*1.02</f>
        <v>3888889.7644799999</v>
      </c>
    </row>
    <row r="8" spans="1:11" ht="45" x14ac:dyDescent="0.25">
      <c r="A8" s="132">
        <v>4</v>
      </c>
      <c r="B8" s="132" t="s">
        <v>74</v>
      </c>
      <c r="C8" s="256" t="s">
        <v>357</v>
      </c>
      <c r="D8" s="278">
        <v>16000</v>
      </c>
      <c r="E8" s="278">
        <v>0</v>
      </c>
      <c r="F8" s="278">
        <f t="shared" ref="F8:G8" si="2">E8*1.2</f>
        <v>0</v>
      </c>
      <c r="G8" s="278">
        <f t="shared" si="2"/>
        <v>0</v>
      </c>
      <c r="H8" s="216"/>
    </row>
    <row r="9" spans="1:11" ht="14.25" customHeight="1" x14ac:dyDescent="0.25">
      <c r="A9" s="132">
        <v>5</v>
      </c>
      <c r="B9" s="132" t="s">
        <v>75</v>
      </c>
      <c r="C9" s="215" t="s">
        <v>125</v>
      </c>
      <c r="D9" s="278">
        <f>'Bevételek 1m'!V170</f>
        <v>345884</v>
      </c>
      <c r="E9" s="278">
        <f t="shared" ref="E9:G21" si="3">D9*1.2</f>
        <v>415060.8</v>
      </c>
      <c r="F9" s="278">
        <f t="shared" si="3"/>
        <v>498072.95999999996</v>
      </c>
      <c r="G9" s="278">
        <f t="shared" si="3"/>
        <v>597687.55199999991</v>
      </c>
      <c r="H9" s="216"/>
    </row>
    <row r="10" spans="1:11" ht="14.25" customHeight="1" x14ac:dyDescent="0.25">
      <c r="A10" s="132">
        <v>6</v>
      </c>
      <c r="B10" s="132" t="s">
        <v>76</v>
      </c>
      <c r="C10" s="215" t="s">
        <v>126</v>
      </c>
      <c r="D10" s="278">
        <f>'Bevételek 1m'!V179+'Bevételek 1m'!V180+'Bevételek 1m'!V181</f>
        <v>978422</v>
      </c>
      <c r="E10" s="278">
        <f t="shared" ref="E10" si="4">D10*1.2</f>
        <v>1174106.3999999999</v>
      </c>
      <c r="F10" s="278">
        <f t="shared" si="3"/>
        <v>1408927.68</v>
      </c>
      <c r="G10" s="278">
        <f t="shared" si="3"/>
        <v>1690713.2159999998</v>
      </c>
      <c r="H10" s="216"/>
    </row>
    <row r="11" spans="1:11" ht="14.25" customHeight="1" x14ac:dyDescent="0.25">
      <c r="A11" s="132">
        <v>7</v>
      </c>
      <c r="B11" s="132" t="s">
        <v>77</v>
      </c>
      <c r="C11" s="215" t="s">
        <v>127</v>
      </c>
      <c r="D11" s="278">
        <f>'Bevételek 1m'!V171</f>
        <v>765036</v>
      </c>
      <c r="E11" s="278">
        <f t="shared" ref="E11" si="5">D11*1.2</f>
        <v>918043.2</v>
      </c>
      <c r="F11" s="278">
        <f t="shared" si="3"/>
        <v>1101651.8399999999</v>
      </c>
      <c r="G11" s="278">
        <f t="shared" si="3"/>
        <v>1321982.2079999999</v>
      </c>
      <c r="H11" s="216">
        <f t="shared" si="1"/>
        <v>1348421.8521599998</v>
      </c>
    </row>
    <row r="12" spans="1:11" ht="14.25" customHeight="1" x14ac:dyDescent="0.25">
      <c r="A12" s="132">
        <v>8</v>
      </c>
      <c r="B12" s="132" t="s">
        <v>78</v>
      </c>
      <c r="C12" s="215" t="s">
        <v>128</v>
      </c>
      <c r="D12" s="278">
        <f>'Bevételek 1m'!V172</f>
        <v>100000</v>
      </c>
      <c r="E12" s="278">
        <f t="shared" ref="E12" si="6">D12*1.2</f>
        <v>120000</v>
      </c>
      <c r="F12" s="278">
        <f t="shared" si="3"/>
        <v>144000</v>
      </c>
      <c r="G12" s="278">
        <f t="shared" si="3"/>
        <v>172800</v>
      </c>
      <c r="H12" s="216">
        <f t="shared" si="1"/>
        <v>176256</v>
      </c>
    </row>
    <row r="13" spans="1:11" ht="14.25" customHeight="1" x14ac:dyDescent="0.25">
      <c r="A13" s="132">
        <v>9</v>
      </c>
      <c r="B13" s="132" t="s">
        <v>79</v>
      </c>
      <c r="C13" s="215" t="s">
        <v>129</v>
      </c>
      <c r="D13" s="278">
        <f>'Bevételek 1m'!V174</f>
        <v>0</v>
      </c>
      <c r="E13" s="278">
        <f t="shared" ref="E13" si="7">D13*1.2</f>
        <v>0</v>
      </c>
      <c r="F13" s="278">
        <f t="shared" si="3"/>
        <v>0</v>
      </c>
      <c r="G13" s="278">
        <f t="shared" si="3"/>
        <v>0</v>
      </c>
      <c r="H13" s="216"/>
    </row>
    <row r="14" spans="1:11" ht="14.25" customHeight="1" x14ac:dyDescent="0.25">
      <c r="A14" s="132">
        <v>10</v>
      </c>
      <c r="B14" s="132" t="s">
        <v>80</v>
      </c>
      <c r="C14" s="217" t="s">
        <v>130</v>
      </c>
      <c r="D14" s="278">
        <f>'Bevételek 1m'!V176</f>
        <v>2035000</v>
      </c>
      <c r="E14" s="278">
        <f t="shared" ref="E14" si="8">D14*1.2</f>
        <v>2442000</v>
      </c>
      <c r="F14" s="278">
        <f t="shared" si="3"/>
        <v>2930400</v>
      </c>
      <c r="G14" s="278">
        <f t="shared" si="3"/>
        <v>3516480</v>
      </c>
      <c r="H14" s="216"/>
    </row>
    <row r="15" spans="1:11" ht="14.25" customHeight="1" x14ac:dyDescent="0.25">
      <c r="A15" s="132">
        <v>11</v>
      </c>
      <c r="B15" s="132" t="s">
        <v>81</v>
      </c>
      <c r="C15" s="215" t="s">
        <v>131</v>
      </c>
      <c r="D15" s="278">
        <f>'Bevételek 1m'!V177</f>
        <v>4000</v>
      </c>
      <c r="E15" s="278">
        <f t="shared" ref="E15" si="9">D15*1.2</f>
        <v>4800</v>
      </c>
      <c r="F15" s="278">
        <f t="shared" si="3"/>
        <v>5760</v>
      </c>
      <c r="G15" s="278">
        <f t="shared" si="3"/>
        <v>6912</v>
      </c>
      <c r="H15" s="216">
        <f t="shared" si="1"/>
        <v>7050.24</v>
      </c>
    </row>
    <row r="16" spans="1:11" ht="14.25" customHeight="1" x14ac:dyDescent="0.25">
      <c r="A16" s="132">
        <v>12</v>
      </c>
      <c r="B16" s="132" t="s">
        <v>82</v>
      </c>
      <c r="C16" s="215" t="s">
        <v>132</v>
      </c>
      <c r="D16" s="278">
        <f>'Bevételek 1m'!V182</f>
        <v>272713</v>
      </c>
      <c r="E16" s="278">
        <f t="shared" ref="E16" si="10">D16*1.2</f>
        <v>327255.59999999998</v>
      </c>
      <c r="F16" s="278">
        <f t="shared" si="3"/>
        <v>392706.72</v>
      </c>
      <c r="G16" s="278">
        <f t="shared" si="3"/>
        <v>471248.06399999995</v>
      </c>
      <c r="H16" s="216"/>
    </row>
    <row r="17" spans="1:14" ht="14.25" customHeight="1" x14ac:dyDescent="0.25">
      <c r="A17" s="132">
        <v>13</v>
      </c>
      <c r="B17" s="132" t="s">
        <v>83</v>
      </c>
      <c r="C17" s="215" t="s">
        <v>133</v>
      </c>
      <c r="D17" s="278">
        <f>'Bevételek 1m'!V183</f>
        <v>75953</v>
      </c>
      <c r="E17" s="278">
        <f t="shared" ref="E17" si="11">D17*1.2</f>
        <v>91143.599999999991</v>
      </c>
      <c r="F17" s="278">
        <f t="shared" si="3"/>
        <v>109372.31999999999</v>
      </c>
      <c r="G17" s="278">
        <f t="shared" si="3"/>
        <v>131246.78399999999</v>
      </c>
      <c r="H17" s="216">
        <f t="shared" si="1"/>
        <v>133871.71967999998</v>
      </c>
    </row>
    <row r="18" spans="1:14" ht="14.25" customHeight="1" x14ac:dyDescent="0.25">
      <c r="A18" s="132">
        <v>14</v>
      </c>
      <c r="B18" s="132" t="s">
        <v>84</v>
      </c>
      <c r="C18" s="215" t="s">
        <v>134</v>
      </c>
      <c r="D18" s="278">
        <f>'Bevételek 1m'!V188</f>
        <v>0</v>
      </c>
      <c r="E18" s="278">
        <f t="shared" ref="E18" si="12">D18*1.2</f>
        <v>0</v>
      </c>
      <c r="F18" s="278">
        <f t="shared" si="3"/>
        <v>0</v>
      </c>
      <c r="G18" s="278">
        <f t="shared" si="3"/>
        <v>0</v>
      </c>
      <c r="H18" s="216"/>
    </row>
    <row r="19" spans="1:14" ht="14.25" customHeight="1" x14ac:dyDescent="0.25">
      <c r="A19" s="132">
        <v>15</v>
      </c>
      <c r="B19" s="132" t="s">
        <v>85</v>
      </c>
      <c r="C19" s="215" t="s">
        <v>135</v>
      </c>
      <c r="D19" s="278">
        <f>'Bevételek 1m'!V185</f>
        <v>820537</v>
      </c>
      <c r="E19" s="278">
        <f t="shared" ref="E19" si="13">D19*1.2</f>
        <v>984644.39999999991</v>
      </c>
      <c r="F19" s="278">
        <f t="shared" si="3"/>
        <v>1181573.2799999998</v>
      </c>
      <c r="G19" s="278">
        <f t="shared" si="3"/>
        <v>1417887.9359999998</v>
      </c>
    </row>
    <row r="20" spans="1:14" ht="14.25" customHeight="1" x14ac:dyDescent="0.25">
      <c r="A20" s="132">
        <v>16</v>
      </c>
      <c r="B20" s="132" t="s">
        <v>86</v>
      </c>
      <c r="C20" s="215" t="s">
        <v>407</v>
      </c>
      <c r="D20" s="278">
        <f>SUM('Bevételek 1m'!V186)</f>
        <v>3624</v>
      </c>
      <c r="E20" s="278"/>
      <c r="F20" s="278"/>
      <c r="G20" s="278"/>
    </row>
    <row r="21" spans="1:14" ht="14.25" customHeight="1" x14ac:dyDescent="0.25">
      <c r="A21" s="132">
        <v>17</v>
      </c>
      <c r="B21" s="132" t="s">
        <v>87</v>
      </c>
      <c r="C21" s="215" t="s">
        <v>136</v>
      </c>
      <c r="D21" s="278">
        <v>0</v>
      </c>
      <c r="E21" s="278">
        <f t="shared" ref="E21" si="14">D21*1.2</f>
        <v>0</v>
      </c>
      <c r="F21" s="278">
        <f t="shared" si="3"/>
        <v>0</v>
      </c>
      <c r="G21" s="278">
        <f t="shared" si="3"/>
        <v>0</v>
      </c>
    </row>
    <row r="22" spans="1:14" ht="14.25" customHeight="1" x14ac:dyDescent="0.25">
      <c r="A22" s="132">
        <v>18</v>
      </c>
      <c r="B22" s="132" t="s">
        <v>88</v>
      </c>
      <c r="C22" s="249" t="s">
        <v>137</v>
      </c>
      <c r="D22" s="279">
        <f>SUM(D6:D21)</f>
        <v>8028557</v>
      </c>
      <c r="E22" s="279">
        <f>SUM(E6:E21)</f>
        <v>9610718.5999999996</v>
      </c>
      <c r="F22" s="279">
        <f>SUM(F6:F21)+1</f>
        <v>11532863.32</v>
      </c>
      <c r="G22" s="279">
        <f>SUM(G6:G21)</f>
        <v>13839434.783999998</v>
      </c>
      <c r="H22" s="218">
        <f>SUM(H7:H21)</f>
        <v>5554489.57632</v>
      </c>
      <c r="I22" s="219">
        <f>SUM(I6:I21)</f>
        <v>0</v>
      </c>
    </row>
    <row r="23" spans="1:14" x14ac:dyDescent="0.25">
      <c r="A23" s="132">
        <v>19</v>
      </c>
      <c r="B23" s="132" t="s">
        <v>89</v>
      </c>
      <c r="C23" s="211" t="s">
        <v>138</v>
      </c>
      <c r="D23" s="257"/>
      <c r="E23" s="258"/>
      <c r="F23" s="258"/>
      <c r="G23" s="258"/>
      <c r="H23" s="213" t="s">
        <v>139</v>
      </c>
    </row>
    <row r="24" spans="1:14" x14ac:dyDescent="0.25">
      <c r="A24" s="132">
        <v>20</v>
      </c>
      <c r="B24" s="132" t="s">
        <v>90</v>
      </c>
      <c r="C24" s="209" t="s">
        <v>140</v>
      </c>
      <c r="D24" s="280">
        <f>'Kiadások 2m'!U139</f>
        <v>6761712</v>
      </c>
      <c r="E24" s="278">
        <f t="shared" ref="E24" si="15">D24*1.2</f>
        <v>8114054.3999999994</v>
      </c>
      <c r="F24" s="278">
        <f>E24*1.2</f>
        <v>9736865.2799999993</v>
      </c>
      <c r="G24" s="278">
        <f>F24*1.2</f>
        <v>11684238.335999999</v>
      </c>
    </row>
    <row r="25" spans="1:14" x14ac:dyDescent="0.25">
      <c r="A25" s="132">
        <v>21</v>
      </c>
      <c r="B25" s="132" t="s">
        <v>91</v>
      </c>
      <c r="C25" s="209" t="s">
        <v>141</v>
      </c>
      <c r="D25" s="280">
        <f>'Kiadások 2m'!U157</f>
        <v>2507380</v>
      </c>
      <c r="E25" s="278">
        <f t="shared" ref="E25:E26" si="16">D25*1.2</f>
        <v>3008856</v>
      </c>
      <c r="F25" s="278">
        <f t="shared" ref="F25:G25" si="17">E25*1.2</f>
        <v>3610627.1999999997</v>
      </c>
      <c r="G25" s="278">
        <f t="shared" si="17"/>
        <v>4332752.6399999997</v>
      </c>
      <c r="H25" s="216">
        <f>G25*1.02</f>
        <v>4419407.6927999994</v>
      </c>
    </row>
    <row r="26" spans="1:14" x14ac:dyDescent="0.25">
      <c r="A26" s="132">
        <v>22</v>
      </c>
      <c r="B26" s="132" t="s">
        <v>92</v>
      </c>
      <c r="C26" s="209" t="s">
        <v>142</v>
      </c>
      <c r="D26" s="280">
        <f>'Kiadások 2m'!U150</f>
        <v>1185069</v>
      </c>
      <c r="E26" s="278">
        <f t="shared" si="16"/>
        <v>1422082.8</v>
      </c>
      <c r="F26" s="278">
        <f t="shared" ref="F26:G26" si="18">E26*1.2</f>
        <v>1706499.36</v>
      </c>
      <c r="G26" s="278">
        <f t="shared" si="18"/>
        <v>2047799.2320000001</v>
      </c>
      <c r="H26" s="216">
        <f t="shared" ref="H26" si="19">G26*1.02</f>
        <v>2088755.21664</v>
      </c>
    </row>
    <row r="27" spans="1:14" x14ac:dyDescent="0.25">
      <c r="A27" s="132">
        <v>23</v>
      </c>
      <c r="B27" s="132" t="s">
        <v>95</v>
      </c>
      <c r="C27" s="250" t="s">
        <v>291</v>
      </c>
      <c r="D27" s="279">
        <f>SUM(D24:D26)-'Kiadások 2m'!U162</f>
        <v>8028557</v>
      </c>
      <c r="E27" s="279">
        <f>SUM(E24:E26)-2934275</f>
        <v>9610718.1999999993</v>
      </c>
      <c r="F27" s="279">
        <f>SUM(F24:F26)-3521130+1</f>
        <v>11532862.839999998</v>
      </c>
      <c r="G27" s="279">
        <f>SUM(G24:G26)-4225355</f>
        <v>13839435.208000001</v>
      </c>
      <c r="H27" s="218">
        <f>SUM(H25:H26)</f>
        <v>6508162.9094399996</v>
      </c>
      <c r="I27" s="219">
        <f>SUM(I24:I26)</f>
        <v>0</v>
      </c>
    </row>
    <row r="28" spans="1:14" ht="17.100000000000001" customHeight="1" x14ac:dyDescent="0.25">
      <c r="C28" s="281"/>
      <c r="D28" s="281"/>
      <c r="E28" s="282">
        <f>E27-E22</f>
        <v>-0.40000000037252903</v>
      </c>
      <c r="F28" s="282">
        <f>F27-F22</f>
        <v>-0.48000000230967999</v>
      </c>
      <c r="G28" s="282">
        <f t="shared" ref="G28" si="20">G27-G22</f>
        <v>0.42400000244379044</v>
      </c>
      <c r="H28" s="221"/>
      <c r="I28" s="222"/>
      <c r="J28" s="222"/>
      <c r="K28" s="222"/>
      <c r="L28" s="222"/>
      <c r="M28" s="222"/>
      <c r="N28" s="222"/>
    </row>
    <row r="29" spans="1:14" s="224" customFormat="1" ht="15" customHeight="1" x14ac:dyDescent="0.25">
      <c r="A29" s="223"/>
    </row>
    <row r="30" spans="1:14" x14ac:dyDescent="0.25">
      <c r="C30" s="197"/>
      <c r="D30" s="197"/>
      <c r="E30" s="197"/>
      <c r="F30" s="197"/>
      <c r="G30" s="197"/>
      <c r="H30" s="197"/>
      <c r="I30" s="197"/>
      <c r="J30" s="197"/>
    </row>
  </sheetData>
  <mergeCells count="3">
    <mergeCell ref="E4:G4"/>
    <mergeCell ref="A1:H1"/>
    <mergeCell ref="A2:G2"/>
  </mergeCells>
  <phoneticPr fontId="14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8" fitToHeight="0" orientation="portrait" r:id="rId1"/>
  <headerFooter>
    <oddFooter>&amp;P. oldal</oddFooter>
  </headerFooter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J37"/>
  <sheetViews>
    <sheetView tabSelected="1" view="pageBreakPreview" topLeftCell="B1" zoomScale="88" zoomScaleNormal="88" zoomScaleSheetLayoutView="88" workbookViewId="0">
      <selection activeCell="B1" sqref="B1:R1"/>
    </sheetView>
  </sheetViews>
  <sheetFormatPr defaultColWidth="9.140625" defaultRowHeight="12.75" x14ac:dyDescent="0.2"/>
  <cols>
    <col min="1" max="1" width="9.140625" style="226"/>
    <col min="2" max="2" width="48.5703125" style="226" bestFit="1" customWidth="1"/>
    <col min="3" max="3" width="15.42578125" style="226" hidden="1" customWidth="1"/>
    <col min="4" max="4" width="1.5703125" style="226" hidden="1" customWidth="1"/>
    <col min="5" max="5" width="15.5703125" style="226" hidden="1" customWidth="1"/>
    <col min="6" max="6" width="14.42578125" style="226" hidden="1" customWidth="1"/>
    <col min="7" max="7" width="17.42578125" style="226" hidden="1" customWidth="1"/>
    <col min="8" max="8" width="13.42578125" style="226" hidden="1" customWidth="1"/>
    <col min="9" max="9" width="7.140625" style="226" hidden="1" customWidth="1"/>
    <col min="10" max="10" width="13.42578125" style="226" hidden="1" customWidth="1"/>
    <col min="11" max="12" width="16" style="226" hidden="1" customWidth="1"/>
    <col min="13" max="13" width="16" style="252" hidden="1" customWidth="1"/>
    <col min="14" max="17" width="16" style="226" customWidth="1"/>
    <col min="18" max="18" width="49.42578125" style="226" bestFit="1" customWidth="1"/>
    <col min="19" max="19" width="14.5703125" style="226" hidden="1" customWidth="1"/>
    <col min="20" max="20" width="16.42578125" style="226" hidden="1" customWidth="1"/>
    <col min="21" max="21" width="17.42578125" style="226" hidden="1" customWidth="1"/>
    <col min="22" max="22" width="6.42578125" style="226" hidden="1" customWidth="1"/>
    <col min="23" max="23" width="14.85546875" style="226" hidden="1" customWidth="1"/>
    <col min="24" max="24" width="14.42578125" style="226" hidden="1" customWidth="1"/>
    <col min="25" max="25" width="2.140625" style="226" hidden="1" customWidth="1"/>
    <col min="26" max="26" width="2" style="226" hidden="1" customWidth="1"/>
    <col min="27" max="27" width="17.42578125" style="226" hidden="1" customWidth="1"/>
    <col min="28" max="28" width="16.140625" style="226" hidden="1" customWidth="1"/>
    <col min="29" max="29" width="16.140625" style="252" hidden="1" customWidth="1"/>
    <col min="30" max="33" width="16.140625" style="226" customWidth="1"/>
    <col min="34" max="16384" width="9.140625" style="226"/>
  </cols>
  <sheetData>
    <row r="1" spans="1:33" ht="24" customHeight="1" x14ac:dyDescent="0.2">
      <c r="B1" s="372" t="s">
        <v>420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293"/>
    </row>
    <row r="3" spans="1:33" ht="39" customHeight="1" x14ac:dyDescent="0.25">
      <c r="A3" s="404" t="s">
        <v>410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294"/>
      <c r="AG3" s="294"/>
    </row>
    <row r="4" spans="1:33" x14ac:dyDescent="0.2">
      <c r="B4" s="295"/>
      <c r="C4" s="295" t="s">
        <v>143</v>
      </c>
      <c r="D4" s="295"/>
      <c r="E4" s="295"/>
      <c r="F4" s="295"/>
      <c r="G4" s="295"/>
      <c r="H4" s="295"/>
      <c r="I4" s="295"/>
      <c r="J4" s="295"/>
      <c r="K4" s="295"/>
      <c r="L4" s="295"/>
      <c r="M4" s="296"/>
      <c r="N4" s="295"/>
      <c r="O4" s="295"/>
      <c r="P4" s="295"/>
      <c r="Q4" s="295"/>
      <c r="R4" s="295"/>
    </row>
    <row r="5" spans="1:33" ht="15.75" x14ac:dyDescent="0.25"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6"/>
      <c r="N5" s="295"/>
      <c r="O5" s="295"/>
      <c r="P5" s="295"/>
      <c r="Q5" s="295"/>
      <c r="AD5" s="162"/>
      <c r="AE5" s="162" t="s">
        <v>71</v>
      </c>
      <c r="AF5" s="405" t="s">
        <v>56</v>
      </c>
      <c r="AG5" s="405"/>
    </row>
    <row r="6" spans="1:33" x14ac:dyDescent="0.2">
      <c r="A6" s="227"/>
      <c r="B6" s="228" t="s">
        <v>272</v>
      </c>
      <c r="C6" s="228"/>
      <c r="D6" s="228"/>
      <c r="E6" s="228"/>
      <c r="F6" s="228"/>
      <c r="G6" s="228"/>
      <c r="H6" s="228"/>
      <c r="I6" s="228"/>
      <c r="J6" s="228"/>
      <c r="K6" s="228"/>
      <c r="L6" s="228" t="s">
        <v>273</v>
      </c>
      <c r="M6" s="297" t="s">
        <v>274</v>
      </c>
      <c r="N6" s="228" t="s">
        <v>273</v>
      </c>
      <c r="O6" s="228" t="s">
        <v>274</v>
      </c>
      <c r="P6" s="228" t="s">
        <v>275</v>
      </c>
      <c r="Q6" s="228" t="s">
        <v>312</v>
      </c>
      <c r="R6" s="228" t="s">
        <v>277</v>
      </c>
      <c r="S6" s="228"/>
      <c r="T6" s="228"/>
      <c r="U6" s="228"/>
      <c r="V6" s="228"/>
      <c r="W6" s="228"/>
      <c r="X6" s="228"/>
      <c r="Y6" s="228"/>
      <c r="Z6" s="228"/>
      <c r="AA6" s="228"/>
      <c r="AB6" s="228" t="s">
        <v>276</v>
      </c>
      <c r="AC6" s="297" t="s">
        <v>277</v>
      </c>
      <c r="AD6" s="228" t="s">
        <v>282</v>
      </c>
      <c r="AE6" s="228" t="s">
        <v>283</v>
      </c>
      <c r="AF6" s="228" t="s">
        <v>284</v>
      </c>
      <c r="AG6" s="228" t="s">
        <v>285</v>
      </c>
    </row>
    <row r="7" spans="1:33" ht="12.75" customHeight="1" x14ac:dyDescent="0.2">
      <c r="A7" s="406">
        <v>1</v>
      </c>
      <c r="B7" s="395" t="s">
        <v>138</v>
      </c>
      <c r="C7" s="399" t="s">
        <v>104</v>
      </c>
      <c r="D7" s="402" t="s">
        <v>144</v>
      </c>
      <c r="E7" s="399" t="s">
        <v>109</v>
      </c>
      <c r="F7" s="398" t="s">
        <v>111</v>
      </c>
      <c r="G7" s="398" t="s">
        <v>145</v>
      </c>
      <c r="H7" s="398" t="s">
        <v>111</v>
      </c>
      <c r="I7" s="398" t="s">
        <v>258</v>
      </c>
      <c r="J7" s="398" t="s">
        <v>111</v>
      </c>
      <c r="K7" s="340" t="s">
        <v>262</v>
      </c>
      <c r="L7" s="340" t="s">
        <v>264</v>
      </c>
      <c r="M7" s="333" t="s">
        <v>328</v>
      </c>
      <c r="N7" s="340" t="s">
        <v>345</v>
      </c>
      <c r="O7" s="340" t="s">
        <v>362</v>
      </c>
      <c r="P7" s="332" t="s">
        <v>111</v>
      </c>
      <c r="Q7" s="332" t="s">
        <v>384</v>
      </c>
      <c r="R7" s="395" t="s">
        <v>123</v>
      </c>
      <c r="S7" s="399" t="s">
        <v>146</v>
      </c>
      <c r="T7" s="402" t="s">
        <v>113</v>
      </c>
      <c r="U7" s="407" t="s">
        <v>109</v>
      </c>
      <c r="V7" s="391" t="s">
        <v>111</v>
      </c>
      <c r="W7" s="393" t="s">
        <v>145</v>
      </c>
      <c r="X7" s="396" t="s">
        <v>111</v>
      </c>
      <c r="Y7" s="398" t="s">
        <v>258</v>
      </c>
      <c r="Z7" s="394" t="s">
        <v>111</v>
      </c>
      <c r="AA7" s="340" t="s">
        <v>262</v>
      </c>
      <c r="AB7" s="393" t="s">
        <v>265</v>
      </c>
      <c r="AC7" s="333" t="s">
        <v>328</v>
      </c>
      <c r="AD7" s="340" t="s">
        <v>345</v>
      </c>
      <c r="AE7" s="340" t="s">
        <v>362</v>
      </c>
      <c r="AF7" s="332" t="s">
        <v>111</v>
      </c>
      <c r="AG7" s="332" t="s">
        <v>384</v>
      </c>
    </row>
    <row r="8" spans="1:33" ht="15" customHeight="1" x14ac:dyDescent="0.2">
      <c r="A8" s="394"/>
      <c r="B8" s="400"/>
      <c r="C8" s="401"/>
      <c r="D8" s="403"/>
      <c r="E8" s="401"/>
      <c r="F8" s="398"/>
      <c r="G8" s="398"/>
      <c r="H8" s="398"/>
      <c r="I8" s="398"/>
      <c r="J8" s="398"/>
      <c r="K8" s="340"/>
      <c r="L8" s="340"/>
      <c r="M8" s="333"/>
      <c r="N8" s="340"/>
      <c r="O8" s="340"/>
      <c r="P8" s="333"/>
      <c r="Q8" s="333"/>
      <c r="R8" s="400"/>
      <c r="S8" s="401"/>
      <c r="T8" s="403"/>
      <c r="U8" s="407"/>
      <c r="V8" s="391"/>
      <c r="W8" s="394"/>
      <c r="X8" s="396"/>
      <c r="Y8" s="398"/>
      <c r="Z8" s="394"/>
      <c r="AA8" s="340"/>
      <c r="AB8" s="394"/>
      <c r="AC8" s="333"/>
      <c r="AD8" s="340"/>
      <c r="AE8" s="340"/>
      <c r="AF8" s="333"/>
      <c r="AG8" s="333"/>
    </row>
    <row r="9" spans="1:33" ht="68.25" customHeight="1" x14ac:dyDescent="0.2">
      <c r="A9" s="395"/>
      <c r="B9" s="400"/>
      <c r="C9" s="401"/>
      <c r="D9" s="403"/>
      <c r="E9" s="401"/>
      <c r="F9" s="399"/>
      <c r="G9" s="399"/>
      <c r="H9" s="399"/>
      <c r="I9" s="399"/>
      <c r="J9" s="399"/>
      <c r="K9" s="341"/>
      <c r="L9" s="341"/>
      <c r="M9" s="334"/>
      <c r="N9" s="341"/>
      <c r="O9" s="341"/>
      <c r="P9" s="334"/>
      <c r="Q9" s="334"/>
      <c r="R9" s="400"/>
      <c r="S9" s="401"/>
      <c r="T9" s="403"/>
      <c r="U9" s="408"/>
      <c r="V9" s="392"/>
      <c r="W9" s="395"/>
      <c r="X9" s="397"/>
      <c r="Y9" s="399"/>
      <c r="Z9" s="395"/>
      <c r="AA9" s="341"/>
      <c r="AB9" s="395"/>
      <c r="AC9" s="334"/>
      <c r="AD9" s="341"/>
      <c r="AE9" s="341"/>
      <c r="AF9" s="334"/>
      <c r="AG9" s="334"/>
    </row>
    <row r="10" spans="1:33" ht="36.75" customHeight="1" x14ac:dyDescent="0.2">
      <c r="A10" s="228">
        <v>2</v>
      </c>
      <c r="B10" s="227" t="s">
        <v>147</v>
      </c>
      <c r="C10" s="229">
        <v>1089794</v>
      </c>
      <c r="D10" s="229">
        <v>1650257</v>
      </c>
      <c r="E10" s="229">
        <f>[2]Kiadások!F150</f>
        <v>1098520</v>
      </c>
      <c r="F10" s="229">
        <v>277628</v>
      </c>
      <c r="G10" s="229">
        <f>F10+E10</f>
        <v>1376148</v>
      </c>
      <c r="H10" s="229">
        <f>'Kiadások 2m'!J140</f>
        <v>53537</v>
      </c>
      <c r="I10" s="229">
        <f>'Kiadások 2m'!K140</f>
        <v>1429685</v>
      </c>
      <c r="J10" s="229">
        <f>'Kiadások 2m'!L140</f>
        <v>41734</v>
      </c>
      <c r="K10" s="229">
        <f>'Kiadások 2m'!M140</f>
        <v>1471419</v>
      </c>
      <c r="L10" s="229">
        <f>'Kiadások 2m'!N140</f>
        <v>1256567</v>
      </c>
      <c r="M10" s="251">
        <f>'Kiadások 2m'!Q140</f>
        <v>1412680</v>
      </c>
      <c r="N10" s="229">
        <f>'Kiadások 2m'!R140</f>
        <v>1662466</v>
      </c>
      <c r="O10" s="229">
        <f>'Kiadások 2m'!S140</f>
        <v>2007345</v>
      </c>
      <c r="P10" s="229">
        <f>'Kiadások 2m'!T140</f>
        <v>172194</v>
      </c>
      <c r="Q10" s="229">
        <f>'Kiadások 2m'!U140</f>
        <v>2179539</v>
      </c>
      <c r="R10" s="230" t="s">
        <v>298</v>
      </c>
      <c r="S10" s="229">
        <v>783333</v>
      </c>
      <c r="T10" s="229">
        <v>1761190</v>
      </c>
      <c r="U10" s="231">
        <f>[2]Bevételek!G163</f>
        <v>869953</v>
      </c>
      <c r="V10" s="232">
        <v>187174</v>
      </c>
      <c r="W10" s="229">
        <f>V10+U10</f>
        <v>1057127</v>
      </c>
      <c r="X10" s="229">
        <f>'Bevételek 1m'!K161</f>
        <v>91627</v>
      </c>
      <c r="Y10" s="229">
        <f>'Bevételek 1m'!L161</f>
        <v>1148754</v>
      </c>
      <c r="Z10" s="229">
        <f>'Bevételek 1m'!M161</f>
        <v>42016</v>
      </c>
      <c r="AA10" s="229">
        <f>'Bevételek 1m'!N161</f>
        <v>1190770</v>
      </c>
      <c r="AB10" s="229">
        <f>'Bevételek 1m'!O161</f>
        <v>1077811</v>
      </c>
      <c r="AC10" s="251">
        <f>'Bevételek 1m'!R161</f>
        <v>1788019</v>
      </c>
      <c r="AD10" s="229">
        <f>'Bevételek 1m'!S161</f>
        <v>1983647</v>
      </c>
      <c r="AE10" s="229">
        <f>'Bevételek 1m'!T161</f>
        <v>2352080</v>
      </c>
      <c r="AF10" s="229">
        <f>'Bevételek 1m'!U161</f>
        <v>216192</v>
      </c>
      <c r="AG10" s="229">
        <f>'Bevételek 1m'!V161</f>
        <v>2568272</v>
      </c>
    </row>
    <row r="11" spans="1:33" x14ac:dyDescent="0.2">
      <c r="A11" s="228">
        <v>3</v>
      </c>
      <c r="B11" s="230" t="s">
        <v>148</v>
      </c>
      <c r="C11" s="229">
        <v>187274</v>
      </c>
      <c r="D11" s="229">
        <v>267738</v>
      </c>
      <c r="E11" s="229">
        <f>[2]Kiadások!F151</f>
        <v>212275</v>
      </c>
      <c r="F11" s="229">
        <v>34754</v>
      </c>
      <c r="G11" s="229">
        <f t="shared" ref="G11:G18" si="0">F11+E11</f>
        <v>247029</v>
      </c>
      <c r="H11" s="229">
        <f>'Kiadások 2m'!J141</f>
        <v>15126</v>
      </c>
      <c r="I11" s="229">
        <f>'Kiadások 2m'!K141</f>
        <v>262155</v>
      </c>
      <c r="J11" s="229">
        <f>'Kiadások 2m'!L141</f>
        <v>10974</v>
      </c>
      <c r="K11" s="229">
        <f>'Kiadások 2m'!M141</f>
        <v>273129</v>
      </c>
      <c r="L11" s="229">
        <f>'Kiadások 2m'!N141</f>
        <v>225299</v>
      </c>
      <c r="M11" s="251">
        <f>'Kiadások 2m'!Q141</f>
        <v>211865</v>
      </c>
      <c r="N11" s="229">
        <f>'Kiadások 2m'!R141</f>
        <v>242869</v>
      </c>
      <c r="O11" s="229">
        <f>'Kiadások 2m'!S141</f>
        <v>295559</v>
      </c>
      <c r="P11" s="229">
        <f>'Kiadások 2m'!T141</f>
        <v>11763</v>
      </c>
      <c r="Q11" s="229">
        <f>'Kiadások 2m'!U141</f>
        <v>307322</v>
      </c>
      <c r="R11" s="233" t="s">
        <v>297</v>
      </c>
      <c r="S11" s="229">
        <v>339948</v>
      </c>
      <c r="T11" s="229">
        <v>442456</v>
      </c>
      <c r="U11" s="231">
        <f>[2]Bevételek!G173</f>
        <v>488190</v>
      </c>
      <c r="V11" s="232">
        <v>5019</v>
      </c>
      <c r="W11" s="229">
        <f>V11+U11</f>
        <v>493209</v>
      </c>
      <c r="X11" s="229">
        <f>'Bevételek 1m'!K171</f>
        <v>118433</v>
      </c>
      <c r="Y11" s="229">
        <f>'Bevételek 1m'!L171</f>
        <v>611642</v>
      </c>
      <c r="Z11" s="229">
        <f>'Bevételek 1m'!M171</f>
        <v>46000</v>
      </c>
      <c r="AA11" s="229">
        <f>'Bevételek 1m'!N171</f>
        <v>657642</v>
      </c>
      <c r="AB11" s="229">
        <f>'Bevételek 1m'!O171</f>
        <v>532113</v>
      </c>
      <c r="AC11" s="251">
        <f>'Bevételek 1m'!R171</f>
        <v>821690</v>
      </c>
      <c r="AD11" s="229">
        <f>'Bevételek 1m'!S171</f>
        <v>735184</v>
      </c>
      <c r="AE11" s="229">
        <f>'Bevételek 1m'!T171</f>
        <v>728591</v>
      </c>
      <c r="AF11" s="229">
        <f>'Bevételek 1m'!U171</f>
        <v>36445</v>
      </c>
      <c r="AG11" s="229">
        <f>'Bevételek 1m'!V171</f>
        <v>765036</v>
      </c>
    </row>
    <row r="12" spans="1:33" x14ac:dyDescent="0.2">
      <c r="A12" s="228">
        <v>4</v>
      </c>
      <c r="B12" s="227" t="s">
        <v>149</v>
      </c>
      <c r="C12" s="229">
        <v>981343</v>
      </c>
      <c r="D12" s="226">
        <v>2220366</v>
      </c>
      <c r="E12" s="229">
        <f>[2]Kiadások!F152</f>
        <v>1029983</v>
      </c>
      <c r="F12" s="229">
        <v>400538</v>
      </c>
      <c r="G12" s="229">
        <f t="shared" si="0"/>
        <v>1430521</v>
      </c>
      <c r="H12" s="229">
        <f>'Kiadások 2m'!J142</f>
        <v>379651</v>
      </c>
      <c r="I12" s="229">
        <f>'Kiadások 2m'!K142</f>
        <v>1810172</v>
      </c>
      <c r="J12" s="229">
        <f>'Kiadások 2m'!L142</f>
        <v>148793</v>
      </c>
      <c r="K12" s="229">
        <f>'Kiadások 2m'!M142</f>
        <v>1958965</v>
      </c>
      <c r="L12" s="229">
        <f>'Kiadások 2m'!N142</f>
        <v>1351839</v>
      </c>
      <c r="M12" s="251">
        <f>'Kiadások 2m'!Q142</f>
        <v>3585852</v>
      </c>
      <c r="N12" s="229">
        <f>'Kiadások 2m'!R142</f>
        <v>2751335</v>
      </c>
      <c r="O12" s="229">
        <f>'Kiadások 2m'!S142</f>
        <v>2286860</v>
      </c>
      <c r="P12" s="229">
        <f>'Kiadások 2m'!T142</f>
        <v>66710</v>
      </c>
      <c r="Q12" s="229">
        <f>'Kiadások 2m'!U142</f>
        <v>2353570</v>
      </c>
      <c r="R12" s="233" t="s">
        <v>296</v>
      </c>
      <c r="S12" s="229">
        <v>0</v>
      </c>
      <c r="T12" s="229">
        <v>119955</v>
      </c>
      <c r="U12" s="231">
        <f>[2]Bevételek!G174</f>
        <v>0</v>
      </c>
      <c r="V12" s="232">
        <v>0</v>
      </c>
      <c r="W12" s="227">
        <v>0</v>
      </c>
      <c r="X12" s="229">
        <f>'Bevételek 1m'!K172</f>
        <v>0</v>
      </c>
      <c r="Y12" s="229">
        <f>'Bevételek 1m'!L172</f>
        <v>0</v>
      </c>
      <c r="Z12" s="227">
        <v>0</v>
      </c>
      <c r="AA12" s="227">
        <v>0</v>
      </c>
      <c r="AB12" s="229">
        <f>'Bevételek 1m'!O172</f>
        <v>9200</v>
      </c>
      <c r="AC12" s="251">
        <f>'Bevételek 1m'!R172</f>
        <v>0</v>
      </c>
      <c r="AD12" s="229">
        <f>'Bevételek 1m'!S172</f>
        <v>0</v>
      </c>
      <c r="AE12" s="229">
        <f>'Bevételek 1m'!T172</f>
        <v>100000</v>
      </c>
      <c r="AF12" s="229">
        <f>'Bevételek 1m'!U172</f>
        <v>0</v>
      </c>
      <c r="AG12" s="229">
        <f>'Bevételek 1m'!V172</f>
        <v>100000</v>
      </c>
    </row>
    <row r="13" spans="1:33" x14ac:dyDescent="0.2">
      <c r="A13" s="228">
        <v>5</v>
      </c>
      <c r="B13" s="227" t="s">
        <v>150</v>
      </c>
      <c r="C13" s="229">
        <v>129000</v>
      </c>
      <c r="D13" s="229">
        <v>125043</v>
      </c>
      <c r="E13" s="229">
        <f>[2]Kiadások!F153</f>
        <v>108500</v>
      </c>
      <c r="F13" s="229">
        <v>24000</v>
      </c>
      <c r="G13" s="229">
        <f t="shared" si="0"/>
        <v>132500</v>
      </c>
      <c r="H13" s="229">
        <f>'Kiadások 2m'!J143</f>
        <v>2724</v>
      </c>
      <c r="I13" s="229">
        <f>'Kiadások 2m'!K143</f>
        <v>135224</v>
      </c>
      <c r="J13" s="229">
        <f>'Kiadások 2m'!L143</f>
        <v>0</v>
      </c>
      <c r="K13" s="229">
        <f>'Kiadások 2m'!M143</f>
        <v>135224</v>
      </c>
      <c r="L13" s="229">
        <f>'Kiadások 2m'!N143</f>
        <v>149500</v>
      </c>
      <c r="M13" s="251">
        <f>'Kiadások 2m'!Q143</f>
        <v>98650</v>
      </c>
      <c r="N13" s="229">
        <f>'Kiadások 2m'!R143</f>
        <v>176650</v>
      </c>
      <c r="O13" s="229">
        <f>'Kiadások 2m'!S143</f>
        <v>166650</v>
      </c>
      <c r="P13" s="229">
        <f>'Kiadások 2m'!T143</f>
        <v>0</v>
      </c>
      <c r="Q13" s="229">
        <f>'Kiadások 2m'!U143</f>
        <v>166650</v>
      </c>
      <c r="R13" s="233" t="s">
        <v>124</v>
      </c>
      <c r="S13" s="229">
        <v>0</v>
      </c>
      <c r="T13" s="229">
        <v>0</v>
      </c>
      <c r="U13" s="231"/>
      <c r="V13" s="232"/>
      <c r="W13" s="227"/>
      <c r="X13" s="229"/>
      <c r="Y13" s="229"/>
      <c r="Z13" s="227"/>
      <c r="AA13" s="227"/>
      <c r="AB13" s="234">
        <v>516000</v>
      </c>
      <c r="AC13" s="251">
        <f>'Bevételek 1m'!R175</f>
        <v>395000</v>
      </c>
      <c r="AD13" s="229">
        <f>'Bevételek 1m'!S175</f>
        <v>400000</v>
      </c>
      <c r="AE13" s="229">
        <f>'Bevételek 1m'!T175</f>
        <v>405000</v>
      </c>
      <c r="AF13" s="229">
        <f>'Bevételek 1m'!U175</f>
        <v>0</v>
      </c>
      <c r="AG13" s="229">
        <f>'Bevételek 1m'!V175</f>
        <v>405000</v>
      </c>
    </row>
    <row r="14" spans="1:33" x14ac:dyDescent="0.2">
      <c r="A14" s="228">
        <v>6</v>
      </c>
      <c r="B14" s="227" t="s">
        <v>152</v>
      </c>
      <c r="C14" s="229">
        <v>917126</v>
      </c>
      <c r="D14" s="229">
        <v>1178334</v>
      </c>
      <c r="E14" s="229">
        <f>[2]Kiadások!F154</f>
        <v>820174</v>
      </c>
      <c r="F14" s="229">
        <v>488004</v>
      </c>
      <c r="G14" s="229">
        <f t="shared" si="0"/>
        <v>1308178</v>
      </c>
      <c r="H14" s="229">
        <f>'Kiadások 2m'!J144</f>
        <v>-205064</v>
      </c>
      <c r="I14" s="229">
        <f>'Kiadások 2m'!K144</f>
        <v>1103114</v>
      </c>
      <c r="J14" s="229">
        <f>'Kiadások 2m'!L144</f>
        <v>-183050</v>
      </c>
      <c r="K14" s="229">
        <f>'Kiadások 2m'!M144</f>
        <v>920064</v>
      </c>
      <c r="L14" s="229">
        <f>'Kiadások 2m'!N144</f>
        <v>901980</v>
      </c>
      <c r="M14" s="251">
        <f>'Kiadások 2m'!Q144</f>
        <v>1597610</v>
      </c>
      <c r="N14" s="229">
        <f>'Kiadások 2m'!R144</f>
        <v>1344387</v>
      </c>
      <c r="O14" s="229">
        <f>'Kiadások 2m'!S144</f>
        <v>1726055</v>
      </c>
      <c r="P14" s="229">
        <f>'Kiadások 2m'!T144</f>
        <v>28576</v>
      </c>
      <c r="Q14" s="229">
        <f>'Kiadások 2m'!U144</f>
        <v>1754631</v>
      </c>
      <c r="R14" s="229" t="s">
        <v>164</v>
      </c>
      <c r="S14" s="229"/>
      <c r="T14" s="229"/>
      <c r="U14" s="231"/>
      <c r="V14" s="232"/>
      <c r="W14" s="227"/>
      <c r="X14" s="229"/>
      <c r="Y14" s="229"/>
      <c r="Z14" s="227"/>
      <c r="AA14" s="227"/>
      <c r="AB14" s="234">
        <v>1223000</v>
      </c>
      <c r="AC14" s="251">
        <f>'Bevételek 1m'!R176</f>
        <v>1575000</v>
      </c>
      <c r="AD14" s="229">
        <f>'Bevételek 1m'!S176</f>
        <v>1910000</v>
      </c>
      <c r="AE14" s="229">
        <f>'Bevételek 1m'!T176</f>
        <v>2035000</v>
      </c>
      <c r="AF14" s="229">
        <f>'Bevételek 1m'!U176</f>
        <v>0</v>
      </c>
      <c r="AG14" s="229">
        <f>'Bevételek 1m'!V176</f>
        <v>2035000</v>
      </c>
    </row>
    <row r="15" spans="1:33" x14ac:dyDescent="0.2">
      <c r="A15" s="228">
        <v>7</v>
      </c>
      <c r="B15" s="235" t="s">
        <v>153</v>
      </c>
      <c r="C15" s="229">
        <v>23371</v>
      </c>
      <c r="D15" s="229">
        <v>23371</v>
      </c>
      <c r="E15" s="229">
        <f>[2]Kiadások!F172</f>
        <v>25752</v>
      </c>
      <c r="F15" s="229">
        <v>0</v>
      </c>
      <c r="G15" s="229">
        <f t="shared" si="0"/>
        <v>25752</v>
      </c>
      <c r="H15" s="229">
        <v>0</v>
      </c>
      <c r="I15" s="229">
        <v>25752</v>
      </c>
      <c r="J15" s="229">
        <f>'Kiadások 2m'!L160</f>
        <v>0</v>
      </c>
      <c r="K15" s="229">
        <f>'Kiadások 2m'!M160</f>
        <v>25752</v>
      </c>
      <c r="L15" s="229">
        <f>'Kiadások 2m'!N160</f>
        <v>35640</v>
      </c>
      <c r="M15" s="251">
        <f>'Kiadások 2m'!Q160</f>
        <v>63437</v>
      </c>
      <c r="N15" s="229">
        <f>'Kiadások 2m'!R160</f>
        <v>73080</v>
      </c>
      <c r="O15" s="229">
        <f>'Kiadások 2m'!S160</f>
        <v>81776</v>
      </c>
      <c r="P15" s="229">
        <f>'Kiadások 2m'!T160</f>
        <v>0</v>
      </c>
      <c r="Q15" s="229">
        <f>'Kiadások 2m'!U160</f>
        <v>81776</v>
      </c>
      <c r="R15" s="229" t="s">
        <v>165</v>
      </c>
      <c r="S15" s="229"/>
      <c r="T15" s="229"/>
      <c r="U15" s="231"/>
      <c r="V15" s="232"/>
      <c r="W15" s="227"/>
      <c r="X15" s="229"/>
      <c r="Y15" s="229"/>
      <c r="Z15" s="227"/>
      <c r="AA15" s="227"/>
      <c r="AB15" s="234">
        <v>2000</v>
      </c>
      <c r="AC15" s="251">
        <f>'Bevételek 1m'!R177</f>
        <v>4000</v>
      </c>
      <c r="AD15" s="229">
        <f>'Bevételek 1m'!S177</f>
        <v>6000</v>
      </c>
      <c r="AE15" s="229">
        <f>'Bevételek 1m'!T177</f>
        <v>4000</v>
      </c>
      <c r="AF15" s="229">
        <f>'Bevételek 1m'!U177</f>
        <v>0</v>
      </c>
      <c r="AG15" s="229">
        <f>'Bevételek 1m'!V177</f>
        <v>4000</v>
      </c>
    </row>
    <row r="16" spans="1:33" x14ac:dyDescent="0.2">
      <c r="A16" s="228">
        <v>8</v>
      </c>
      <c r="B16" s="227" t="s">
        <v>154</v>
      </c>
      <c r="C16" s="229">
        <v>0</v>
      </c>
      <c r="D16" s="229">
        <v>0</v>
      </c>
      <c r="E16" s="229">
        <v>0</v>
      </c>
      <c r="F16" s="229"/>
      <c r="G16" s="229">
        <f t="shared" si="0"/>
        <v>0</v>
      </c>
      <c r="H16" s="229">
        <v>0</v>
      </c>
      <c r="I16" s="229"/>
      <c r="J16" s="229">
        <v>0</v>
      </c>
      <c r="K16" s="229">
        <v>0</v>
      </c>
      <c r="L16" s="229"/>
      <c r="M16" s="251"/>
      <c r="N16" s="229"/>
      <c r="O16" s="229"/>
      <c r="P16" s="229"/>
      <c r="Q16" s="229"/>
      <c r="R16" s="229" t="s">
        <v>129</v>
      </c>
      <c r="S16" s="229"/>
      <c r="T16" s="229"/>
      <c r="U16" s="231"/>
      <c r="V16" s="232"/>
      <c r="W16" s="227"/>
      <c r="X16" s="229"/>
      <c r="Y16" s="229"/>
      <c r="Z16" s="227"/>
      <c r="AA16" s="227"/>
      <c r="AB16" s="227">
        <v>0</v>
      </c>
      <c r="AC16" s="251">
        <v>0</v>
      </c>
      <c r="AD16" s="229">
        <v>0</v>
      </c>
      <c r="AE16" s="229">
        <v>0</v>
      </c>
      <c r="AF16" s="229">
        <v>0</v>
      </c>
      <c r="AG16" s="229">
        <v>0</v>
      </c>
    </row>
    <row r="17" spans="1:36" x14ac:dyDescent="0.2">
      <c r="A17" s="228">
        <v>9</v>
      </c>
      <c r="B17" s="227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51"/>
      <c r="N17" s="229"/>
      <c r="O17" s="229"/>
      <c r="P17" s="229"/>
      <c r="Q17" s="229"/>
      <c r="R17" s="229" t="s">
        <v>151</v>
      </c>
      <c r="S17" s="229"/>
      <c r="T17" s="229"/>
      <c r="U17" s="231"/>
      <c r="V17" s="232"/>
      <c r="W17" s="227"/>
      <c r="X17" s="229"/>
      <c r="Y17" s="229"/>
      <c r="Z17" s="227"/>
      <c r="AA17" s="227"/>
      <c r="AB17" s="227"/>
      <c r="AC17" s="251"/>
      <c r="AD17" s="229"/>
      <c r="AE17" s="229"/>
      <c r="AF17" s="229"/>
      <c r="AG17" s="229"/>
    </row>
    <row r="18" spans="1:36" x14ac:dyDescent="0.2">
      <c r="A18" s="228">
        <v>10</v>
      </c>
      <c r="B18" s="236" t="s">
        <v>155</v>
      </c>
      <c r="C18" s="237">
        <f>SUM(C10:C16)</f>
        <v>3327908</v>
      </c>
      <c r="D18" s="237">
        <f>SUM(D10:D16)</f>
        <v>5465109</v>
      </c>
      <c r="E18" s="237">
        <f>SUM(E10:E16)</f>
        <v>3295204</v>
      </c>
      <c r="F18" s="237">
        <f>SUM(F10:F16)</f>
        <v>1224924</v>
      </c>
      <c r="G18" s="237">
        <f t="shared" si="0"/>
        <v>4520128</v>
      </c>
      <c r="H18" s="237">
        <f t="shared" ref="H18:L18" si="1">SUM(H10:H16)</f>
        <v>245974</v>
      </c>
      <c r="I18" s="237">
        <f t="shared" si="1"/>
        <v>4766102</v>
      </c>
      <c r="J18" s="237">
        <f t="shared" si="1"/>
        <v>18451</v>
      </c>
      <c r="K18" s="237">
        <f t="shared" si="1"/>
        <v>4784553</v>
      </c>
      <c r="L18" s="237">
        <f t="shared" si="1"/>
        <v>3920825</v>
      </c>
      <c r="M18" s="253">
        <f>SUM(M10:M16)</f>
        <v>6970094</v>
      </c>
      <c r="N18" s="283">
        <f>SUM(N10:N16)</f>
        <v>6250787</v>
      </c>
      <c r="O18" s="283">
        <f>SUM(O10:O16)</f>
        <v>6564245</v>
      </c>
      <c r="P18" s="283">
        <f>SUM(P10:P16)</f>
        <v>279243</v>
      </c>
      <c r="Q18" s="283">
        <f>SUM(Q10:Q16)</f>
        <v>6843488</v>
      </c>
      <c r="R18" s="237" t="s">
        <v>156</v>
      </c>
      <c r="S18" s="237">
        <f>SUM(S10:S16)</f>
        <v>1123281</v>
      </c>
      <c r="T18" s="237">
        <f>SUM(T10:T16)</f>
        <v>2323601</v>
      </c>
      <c r="U18" s="238">
        <f>SUM(U10:U16)</f>
        <v>1358143</v>
      </c>
      <c r="V18" s="239">
        <f>SUM(V10:V16)</f>
        <v>192193</v>
      </c>
      <c r="W18" s="237">
        <f>SUM(W10:W16)</f>
        <v>1550336</v>
      </c>
      <c r="X18" s="237">
        <f>X10+X11</f>
        <v>210060</v>
      </c>
      <c r="Y18" s="237">
        <f>Y10+Y11</f>
        <v>1760396</v>
      </c>
      <c r="Z18" s="237">
        <f>Z10+Z11</f>
        <v>88016</v>
      </c>
      <c r="AA18" s="237">
        <f>AA10+AA11</f>
        <v>1848412</v>
      </c>
      <c r="AB18" s="237">
        <f t="shared" ref="AB18:AG18" si="2">SUM(AB10:AB17)</f>
        <v>3360124</v>
      </c>
      <c r="AC18" s="253">
        <f t="shared" si="2"/>
        <v>4583709</v>
      </c>
      <c r="AD18" s="283">
        <f t="shared" si="2"/>
        <v>5034831</v>
      </c>
      <c r="AE18" s="283">
        <f t="shared" si="2"/>
        <v>5624671</v>
      </c>
      <c r="AF18" s="283">
        <f t="shared" si="2"/>
        <v>252637</v>
      </c>
      <c r="AG18" s="283">
        <f t="shared" si="2"/>
        <v>5877308</v>
      </c>
    </row>
    <row r="19" spans="1:36" x14ac:dyDescent="0.2">
      <c r="A19" s="228">
        <v>11</v>
      </c>
      <c r="B19" s="227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51"/>
      <c r="N19" s="229"/>
      <c r="O19" s="229"/>
      <c r="P19" s="229"/>
      <c r="Q19" s="229"/>
      <c r="R19" s="233" t="s">
        <v>157</v>
      </c>
      <c r="S19" s="241">
        <v>476480</v>
      </c>
      <c r="T19" s="229">
        <v>3141508</v>
      </c>
      <c r="U19" s="231">
        <v>0</v>
      </c>
      <c r="V19" s="232"/>
      <c r="W19" s="227">
        <v>0</v>
      </c>
      <c r="X19" s="229">
        <v>0</v>
      </c>
      <c r="Y19" s="229">
        <v>0</v>
      </c>
      <c r="Z19" s="227">
        <v>0</v>
      </c>
      <c r="AA19" s="227">
        <v>0</v>
      </c>
      <c r="AB19" s="227"/>
      <c r="AC19" s="251">
        <v>2386385</v>
      </c>
      <c r="AD19" s="229">
        <v>1215956</v>
      </c>
      <c r="AE19" s="229">
        <v>939574</v>
      </c>
      <c r="AF19" s="229">
        <v>20606</v>
      </c>
      <c r="AG19" s="229">
        <f>SUM(AE19:AF19)</f>
        <v>960180</v>
      </c>
      <c r="AI19" s="240">
        <f>O20-AE20</f>
        <v>0</v>
      </c>
    </row>
    <row r="20" spans="1:36" x14ac:dyDescent="0.2">
      <c r="A20" s="228">
        <v>12</v>
      </c>
      <c r="B20" s="236" t="s">
        <v>158</v>
      </c>
      <c r="C20" s="237">
        <f>C18</f>
        <v>3327908</v>
      </c>
      <c r="D20" s="237">
        <f t="shared" ref="D20:K20" si="3">D18</f>
        <v>5465109</v>
      </c>
      <c r="E20" s="237">
        <f t="shared" si="3"/>
        <v>3295204</v>
      </c>
      <c r="F20" s="237">
        <f t="shared" si="3"/>
        <v>1224924</v>
      </c>
      <c r="G20" s="237">
        <f t="shared" si="3"/>
        <v>4520128</v>
      </c>
      <c r="H20" s="237">
        <f t="shared" si="3"/>
        <v>245974</v>
      </c>
      <c r="I20" s="237">
        <f t="shared" si="3"/>
        <v>4766102</v>
      </c>
      <c r="J20" s="237">
        <f t="shared" si="3"/>
        <v>18451</v>
      </c>
      <c r="K20" s="237">
        <f t="shared" si="3"/>
        <v>4784553</v>
      </c>
      <c r="L20" s="237">
        <f>L18</f>
        <v>3920825</v>
      </c>
      <c r="M20" s="253">
        <f>SUM(M18)</f>
        <v>6970094</v>
      </c>
      <c r="N20" s="283">
        <f>SUM(N18)</f>
        <v>6250787</v>
      </c>
      <c r="O20" s="283">
        <f>SUM(O18)</f>
        <v>6564245</v>
      </c>
      <c r="P20" s="283">
        <f>SUM(P18)</f>
        <v>279243</v>
      </c>
      <c r="Q20" s="283">
        <f>SUM(Q18)</f>
        <v>6843488</v>
      </c>
      <c r="R20" s="237" t="s">
        <v>159</v>
      </c>
      <c r="S20" s="237">
        <f>SUM(S18:S19)</f>
        <v>1599761</v>
      </c>
      <c r="T20" s="237">
        <f t="shared" ref="T20" si="4">SUM(T18:T19)</f>
        <v>5465109</v>
      </c>
      <c r="U20" s="238">
        <f>SUM(U18:U19)</f>
        <v>1358143</v>
      </c>
      <c r="V20" s="239">
        <f>SUM(V18:V19)</f>
        <v>192193</v>
      </c>
      <c r="W20" s="237">
        <f>V20+U20</f>
        <v>1550336</v>
      </c>
      <c r="X20" s="237">
        <f>X18</f>
        <v>210060</v>
      </c>
      <c r="Y20" s="237">
        <f>Y18</f>
        <v>1760396</v>
      </c>
      <c r="Z20" s="237">
        <f>Z18</f>
        <v>88016</v>
      </c>
      <c r="AA20" s="237">
        <f>AA18</f>
        <v>1848412</v>
      </c>
      <c r="AB20" s="237">
        <f>AB18</f>
        <v>3360124</v>
      </c>
      <c r="AC20" s="253">
        <f>SUM(AC18+AC19)</f>
        <v>6970094</v>
      </c>
      <c r="AD20" s="283">
        <f>SUM(AD18+AD19)</f>
        <v>6250787</v>
      </c>
      <c r="AE20" s="283">
        <f>SUM(AE18+AE19)</f>
        <v>6564245</v>
      </c>
      <c r="AF20" s="283">
        <f>SUM(AF18+AF19)</f>
        <v>273243</v>
      </c>
      <c r="AG20" s="283">
        <f>SUM(AG18+AG19)</f>
        <v>6837488</v>
      </c>
      <c r="AH20" s="242" t="str">
        <f>IF(AE20&gt;=0,"OK","nem OK")</f>
        <v>OK</v>
      </c>
    </row>
    <row r="21" spans="1:36" x14ac:dyDescent="0.2">
      <c r="A21" s="228">
        <v>13</v>
      </c>
      <c r="B21" s="227" t="s">
        <v>295</v>
      </c>
      <c r="C21" s="229">
        <v>4223234</v>
      </c>
      <c r="D21" s="229">
        <v>5227625</v>
      </c>
      <c r="E21" s="229">
        <f>[2]Kiadások!F163</f>
        <v>3274039</v>
      </c>
      <c r="F21" s="229">
        <v>-438012</v>
      </c>
      <c r="G21" s="229">
        <f>E21+F21</f>
        <v>2836027</v>
      </c>
      <c r="H21" s="229">
        <f>'Kiadások 2m'!J151</f>
        <v>-398223</v>
      </c>
      <c r="I21" s="229">
        <f>'Kiadások 2m'!K151</f>
        <v>2437804</v>
      </c>
      <c r="J21" s="229">
        <f>'Kiadások 2m'!L151</f>
        <v>213502</v>
      </c>
      <c r="K21" s="229">
        <f>'Kiadások 2m'!M151</f>
        <v>2651306</v>
      </c>
      <c r="L21" s="229">
        <f>'Kiadások 2m'!N151</f>
        <v>848063</v>
      </c>
      <c r="M21" s="251">
        <f>'Kiadások 2m'!Q151</f>
        <v>4983477</v>
      </c>
      <c r="N21" s="229">
        <f>'Kiadások 2m'!R151</f>
        <v>3335248</v>
      </c>
      <c r="O21" s="229">
        <f>'Kiadások 2m'!S151</f>
        <v>282003</v>
      </c>
      <c r="P21" s="229">
        <f>'Kiadások 2m'!T151</f>
        <v>12586</v>
      </c>
      <c r="Q21" s="229">
        <f>'Kiadások 2m'!U151</f>
        <v>294589</v>
      </c>
      <c r="R21" s="229" t="s">
        <v>160</v>
      </c>
      <c r="S21" s="229"/>
      <c r="T21" s="229">
        <v>448150</v>
      </c>
      <c r="U21" s="231">
        <f>[2]Bevételek!G176</f>
        <v>0</v>
      </c>
      <c r="V21" s="232">
        <v>0</v>
      </c>
      <c r="W21" s="227"/>
      <c r="X21" s="229"/>
      <c r="Y21" s="229"/>
      <c r="Z21" s="227"/>
      <c r="AA21" s="227"/>
      <c r="AB21" s="227"/>
      <c r="AC21" s="251">
        <v>0</v>
      </c>
      <c r="AD21" s="229">
        <f>'Bevételek 1m'!S179</f>
        <v>0</v>
      </c>
      <c r="AE21" s="229">
        <f>'Bevételek 1m'!T179</f>
        <v>0</v>
      </c>
      <c r="AF21" s="229">
        <f>'Bevételek 1m'!U179</f>
        <v>0</v>
      </c>
      <c r="AG21" s="229">
        <f>'Bevételek 1m'!V179</f>
        <v>0</v>
      </c>
    </row>
    <row r="22" spans="1:36" ht="25.5" x14ac:dyDescent="0.2">
      <c r="A22" s="228">
        <v>14</v>
      </c>
      <c r="B22" s="227" t="s">
        <v>161</v>
      </c>
      <c r="C22" s="229">
        <v>110180</v>
      </c>
      <c r="D22" s="229">
        <v>1205666</v>
      </c>
      <c r="E22" s="229">
        <f>[2]Kiadások!F164</f>
        <v>677316</v>
      </c>
      <c r="F22" s="229">
        <v>-4445</v>
      </c>
      <c r="G22" s="229">
        <f t="shared" ref="G22:G23" si="5">E22+F22</f>
        <v>672871</v>
      </c>
      <c r="H22" s="229">
        <f>'Kiadások 2m'!J152</f>
        <v>350622</v>
      </c>
      <c r="I22" s="229">
        <f>'Kiadások 2m'!K152</f>
        <v>1023493</v>
      </c>
      <c r="J22" s="229">
        <f>'Kiadások 2m'!L152</f>
        <v>9149</v>
      </c>
      <c r="K22" s="229">
        <f>'Kiadások 2m'!M152</f>
        <v>1032642</v>
      </c>
      <c r="L22" s="229">
        <f>'Kiadások 2m'!N152</f>
        <v>673774</v>
      </c>
      <c r="M22" s="251">
        <f>'Kiadások 2m'!Q152</f>
        <v>151154</v>
      </c>
      <c r="N22" s="229">
        <f>'Kiadások 2m'!R152</f>
        <v>31250</v>
      </c>
      <c r="O22" s="229">
        <f>'Kiadások 2m'!S152</f>
        <v>535214</v>
      </c>
      <c r="P22" s="229">
        <f>'Kiadások 2m'!T152</f>
        <v>264574</v>
      </c>
      <c r="Q22" s="229">
        <f>'Kiadások 2m'!U152</f>
        <v>799788</v>
      </c>
      <c r="R22" s="233" t="s">
        <v>162</v>
      </c>
      <c r="S22" s="229"/>
      <c r="T22" s="229">
        <v>1533274</v>
      </c>
      <c r="U22" s="231">
        <v>0</v>
      </c>
      <c r="V22" s="232">
        <v>4000</v>
      </c>
      <c r="W22" s="229">
        <v>4000</v>
      </c>
      <c r="X22" s="229">
        <f>'Bevételek 1m'!K181</f>
        <v>0</v>
      </c>
      <c r="Y22" s="229">
        <f>'Bevételek 1m'!L181</f>
        <v>4000</v>
      </c>
      <c r="Z22" s="227">
        <f>'Bevételek 1m'!M181</f>
        <v>0</v>
      </c>
      <c r="AA22" s="229">
        <f>'Bevételek 1m'!N181</f>
        <v>4000</v>
      </c>
      <c r="AB22" s="229">
        <f>'Bevételek 1m'!O181</f>
        <v>59999</v>
      </c>
      <c r="AC22" s="251">
        <f>'Bevételek 1m'!R181</f>
        <v>3117203</v>
      </c>
      <c r="AD22" s="229">
        <f>'Bevételek 1m'!S181</f>
        <v>2530054</v>
      </c>
      <c r="AE22" s="229">
        <f>'Bevételek 1m'!T181</f>
        <v>704629</v>
      </c>
      <c r="AF22" s="229">
        <f>'Bevételek 1m'!U181</f>
        <v>273793</v>
      </c>
      <c r="AG22" s="229">
        <f>'Bevételek 1m'!V181</f>
        <v>978422</v>
      </c>
    </row>
    <row r="23" spans="1:36" x14ac:dyDescent="0.2">
      <c r="A23" s="228">
        <v>15</v>
      </c>
      <c r="B23" s="227" t="s">
        <v>163</v>
      </c>
      <c r="C23" s="229">
        <v>15000</v>
      </c>
      <c r="D23" s="229">
        <v>50000</v>
      </c>
      <c r="E23" s="229">
        <f>[2]Kiadások!F165</f>
        <v>29000</v>
      </c>
      <c r="F23" s="229">
        <v>8000</v>
      </c>
      <c r="G23" s="229">
        <f t="shared" si="5"/>
        <v>37000</v>
      </c>
      <c r="H23" s="229">
        <f>'Kiadások 2m'!J153</f>
        <v>11687</v>
      </c>
      <c r="I23" s="229">
        <f>'Kiadások 2m'!K153</f>
        <v>48687</v>
      </c>
      <c r="J23" s="229">
        <f>'Kiadások 2m'!L153</f>
        <v>0</v>
      </c>
      <c r="K23" s="229">
        <f>'Kiadások 2m'!M153</f>
        <v>48687</v>
      </c>
      <c r="L23" s="229">
        <f>'Kiadások 2m'!N153</f>
        <v>55000</v>
      </c>
      <c r="M23" s="251">
        <f>'Kiadások 2m'!Q153</f>
        <v>2114</v>
      </c>
      <c r="N23" s="229">
        <f>'Kiadások 2m'!R153</f>
        <v>124445</v>
      </c>
      <c r="O23" s="229">
        <f>'Kiadások 2m'!S153</f>
        <v>90681</v>
      </c>
      <c r="P23" s="229">
        <f>'Kiadások 2m'!T153</f>
        <v>11</v>
      </c>
      <c r="Q23" s="229">
        <f>'Kiadások 2m'!U153</f>
        <v>90692</v>
      </c>
      <c r="R23" s="229" t="s">
        <v>299</v>
      </c>
      <c r="S23" s="229">
        <v>0</v>
      </c>
      <c r="T23" s="229">
        <v>36253</v>
      </c>
      <c r="U23" s="231">
        <v>0</v>
      </c>
      <c r="V23" s="232">
        <v>0</v>
      </c>
      <c r="W23" s="229">
        <v>0</v>
      </c>
      <c r="X23" s="229">
        <v>0</v>
      </c>
      <c r="Y23" s="229">
        <f>'Bevételek 1m'!L183</f>
        <v>0</v>
      </c>
      <c r="Z23" s="229">
        <f>'Bevételek 1m'!M183</f>
        <v>150000</v>
      </c>
      <c r="AA23" s="229">
        <f>'Bevételek 1m'!N183</f>
        <v>150000</v>
      </c>
      <c r="AB23" s="227">
        <f>'Bevételek 1m'!O183</f>
        <v>0</v>
      </c>
      <c r="AC23" s="251">
        <f>'Bevételek 1m'!R183</f>
        <v>25127</v>
      </c>
      <c r="AD23" s="229">
        <f>'Bevételek 1m'!S183</f>
        <v>73478</v>
      </c>
      <c r="AE23" s="229">
        <f>'Bevételek 1m'!T183</f>
        <v>75953</v>
      </c>
      <c r="AF23" s="229">
        <f>'Bevételek 1m'!U183</f>
        <v>0</v>
      </c>
      <c r="AG23" s="229">
        <f>'Bevételek 1m'!V183</f>
        <v>75953</v>
      </c>
    </row>
    <row r="24" spans="1:36" ht="12.75" customHeight="1" x14ac:dyDescent="0.2">
      <c r="A24" s="228">
        <v>16</v>
      </c>
      <c r="B24" s="227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51"/>
      <c r="N24" s="229"/>
      <c r="O24" s="229"/>
      <c r="P24" s="229"/>
      <c r="Q24" s="229"/>
      <c r="R24" s="229"/>
      <c r="S24" s="229">
        <v>20000</v>
      </c>
      <c r="T24" s="229"/>
      <c r="U24" s="231"/>
      <c r="V24" s="232"/>
      <c r="W24" s="229"/>
      <c r="X24" s="229"/>
      <c r="Y24" s="229"/>
      <c r="Z24" s="227"/>
      <c r="AA24" s="227"/>
      <c r="AB24" s="227"/>
      <c r="AC24" s="251"/>
      <c r="AD24" s="229">
        <v>0</v>
      </c>
      <c r="AE24" s="229">
        <v>0</v>
      </c>
      <c r="AF24" s="229">
        <v>0</v>
      </c>
      <c r="AG24" s="229">
        <v>0</v>
      </c>
      <c r="AJ24" s="240">
        <f>N20-AD20</f>
        <v>0</v>
      </c>
    </row>
    <row r="25" spans="1:36" ht="12.75" customHeight="1" x14ac:dyDescent="0.2">
      <c r="A25" s="228">
        <v>17</v>
      </c>
      <c r="B25" s="227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51"/>
      <c r="N25" s="229"/>
      <c r="O25" s="229"/>
      <c r="P25" s="229"/>
      <c r="Q25" s="229"/>
      <c r="R25" s="227"/>
      <c r="S25" s="229">
        <v>0</v>
      </c>
      <c r="T25" s="229"/>
      <c r="U25" s="231"/>
      <c r="V25" s="232"/>
      <c r="W25" s="229"/>
      <c r="X25" s="229"/>
      <c r="Y25" s="229"/>
      <c r="Z25" s="227"/>
      <c r="AA25" s="227"/>
      <c r="AB25" s="227"/>
      <c r="AC25" s="251"/>
      <c r="AD25" s="229">
        <v>0</v>
      </c>
      <c r="AE25" s="229">
        <v>0</v>
      </c>
      <c r="AF25" s="229">
        <v>0</v>
      </c>
      <c r="AG25" s="229">
        <v>0</v>
      </c>
    </row>
    <row r="26" spans="1:36" ht="12.75" customHeight="1" x14ac:dyDescent="0.2">
      <c r="A26" s="228">
        <v>18</v>
      </c>
      <c r="B26" s="227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51"/>
      <c r="N26" s="229"/>
      <c r="O26" s="229"/>
      <c r="P26" s="229"/>
      <c r="Q26" s="229"/>
      <c r="R26" s="227"/>
      <c r="S26" s="229">
        <v>2063955</v>
      </c>
      <c r="T26" s="229"/>
      <c r="U26" s="231"/>
      <c r="V26" s="232"/>
      <c r="W26" s="229"/>
      <c r="X26" s="229"/>
      <c r="Y26" s="229"/>
      <c r="Z26" s="227"/>
      <c r="AA26" s="227"/>
      <c r="AB26" s="227"/>
      <c r="AC26" s="251"/>
      <c r="AD26" s="229">
        <v>0</v>
      </c>
      <c r="AE26" s="229">
        <v>0</v>
      </c>
      <c r="AF26" s="229">
        <v>0</v>
      </c>
      <c r="AG26" s="229">
        <v>0</v>
      </c>
    </row>
    <row r="27" spans="1:36" ht="12.75" customHeight="1" x14ac:dyDescent="0.2">
      <c r="A27" s="228">
        <v>19</v>
      </c>
      <c r="B27" s="227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51"/>
      <c r="N27" s="229"/>
      <c r="O27" s="229"/>
      <c r="P27" s="229"/>
      <c r="Q27" s="229"/>
      <c r="R27" s="229" t="s">
        <v>166</v>
      </c>
      <c r="S27" s="229">
        <v>5000</v>
      </c>
      <c r="T27" s="229">
        <v>48320</v>
      </c>
      <c r="U27" s="231">
        <f>[2]Bevételek!G183</f>
        <v>105000</v>
      </c>
      <c r="V27" s="232">
        <v>0</v>
      </c>
      <c r="W27" s="229">
        <v>105000</v>
      </c>
      <c r="X27" s="229">
        <v>0</v>
      </c>
      <c r="Y27" s="229">
        <f>'Bevételek 1m'!L182</f>
        <v>105000</v>
      </c>
      <c r="Z27" s="227">
        <f>'Bevételek 1m'!M182</f>
        <v>0</v>
      </c>
      <c r="AA27" s="229">
        <v>105000</v>
      </c>
      <c r="AB27" s="229">
        <f>'Bevételek 1m'!O182</f>
        <v>195260</v>
      </c>
      <c r="AC27" s="251">
        <f>'Bevételek 1m'!R182</f>
        <v>366800</v>
      </c>
      <c r="AD27" s="229">
        <f>'Bevételek 1m'!S182</f>
        <v>157407</v>
      </c>
      <c r="AE27" s="229">
        <f>'Bevételek 1m'!T182</f>
        <v>272390</v>
      </c>
      <c r="AF27" s="229">
        <f>'Bevételek 1m'!U182</f>
        <v>323</v>
      </c>
      <c r="AG27" s="229">
        <f>'Bevételek 1m'!V182</f>
        <v>272713</v>
      </c>
    </row>
    <row r="28" spans="1:36" x14ac:dyDescent="0.2">
      <c r="A28" s="228">
        <v>20</v>
      </c>
      <c r="B28" s="236" t="s">
        <v>167</v>
      </c>
      <c r="C28" s="237">
        <f>SUM(C21:C27)</f>
        <v>4348414</v>
      </c>
      <c r="D28" s="237">
        <f>SUM(D21:D27)</f>
        <v>6483291</v>
      </c>
      <c r="E28" s="237">
        <f>E21+E22+E23</f>
        <v>3980355</v>
      </c>
      <c r="F28" s="237">
        <f>F21+F22+F23</f>
        <v>-434457</v>
      </c>
      <c r="G28" s="237">
        <f>G21+G22+G23</f>
        <v>3545898</v>
      </c>
      <c r="H28" s="237">
        <f>H21+H22+H23</f>
        <v>-35914</v>
      </c>
      <c r="I28" s="237">
        <f>I21+I22+I23</f>
        <v>3509984</v>
      </c>
      <c r="J28" s="237">
        <f>J21+J22</f>
        <v>222651</v>
      </c>
      <c r="K28" s="237">
        <f>K21+K22+K23</f>
        <v>3732635</v>
      </c>
      <c r="L28" s="237">
        <f>L21+L22+L23</f>
        <v>1576837</v>
      </c>
      <c r="M28" s="253">
        <f>SUM(M21:M23)</f>
        <v>5136745</v>
      </c>
      <c r="N28" s="283">
        <f>SUM(N21:N23)</f>
        <v>3490943</v>
      </c>
      <c r="O28" s="283">
        <f>SUM(O21:O23)</f>
        <v>907898</v>
      </c>
      <c r="P28" s="283">
        <f>SUM(P21:P23)</f>
        <v>277171</v>
      </c>
      <c r="Q28" s="283">
        <f>SUM(Q21:Q23)</f>
        <v>1185069</v>
      </c>
      <c r="R28" s="237" t="s">
        <v>168</v>
      </c>
      <c r="S28" s="237" t="e">
        <f>#REF!+#REF!+#REF!+S23+#REF!+S27</f>
        <v>#REF!</v>
      </c>
      <c r="T28" s="237">
        <f>SUM(T21:T27)</f>
        <v>2065997</v>
      </c>
      <c r="U28" s="238" t="e">
        <f>#REF!+#REF!+#REF!+U23+#REF!+U27</f>
        <v>#REF!</v>
      </c>
      <c r="V28" s="239">
        <f>V22</f>
        <v>4000</v>
      </c>
      <c r="W28" s="237" t="e">
        <f>#REF!+#REF!+#REF!+W23+#REF!+W27+W22</f>
        <v>#REF!</v>
      </c>
      <c r="X28" s="237">
        <v>0</v>
      </c>
      <c r="Y28" s="237">
        <f>SUM(Y22:Y27)</f>
        <v>109000</v>
      </c>
      <c r="Z28" s="237">
        <f>SUM(Z21:Z27)</f>
        <v>150000</v>
      </c>
      <c r="AA28" s="237">
        <f>SUM(AA22:AA27)</f>
        <v>259000</v>
      </c>
      <c r="AB28" s="237">
        <f>SUM(AB22:AB27)</f>
        <v>255259</v>
      </c>
      <c r="AC28" s="253">
        <f>SUM(AC22:AC27)</f>
        <v>3509130</v>
      </c>
      <c r="AD28" s="283">
        <f>SUM(AD22:AD27)</f>
        <v>2760939</v>
      </c>
      <c r="AE28" s="283">
        <f>SUM(AE22:AE27)</f>
        <v>1052972</v>
      </c>
      <c r="AF28" s="283">
        <f t="shared" ref="AF28:AG28" si="6">SUM(AF22:AF27)</f>
        <v>274116</v>
      </c>
      <c r="AG28" s="283">
        <f t="shared" si="6"/>
        <v>1327088</v>
      </c>
    </row>
    <row r="29" spans="1:36" x14ac:dyDescent="0.2">
      <c r="A29" s="228">
        <v>21</v>
      </c>
      <c r="B29" s="227" t="s">
        <v>169</v>
      </c>
      <c r="C29" s="229"/>
      <c r="D29" s="229">
        <v>395613</v>
      </c>
      <c r="E29" s="229">
        <v>0</v>
      </c>
      <c r="F29" s="229">
        <v>0</v>
      </c>
      <c r="G29" s="229"/>
      <c r="H29" s="229"/>
      <c r="I29" s="229"/>
      <c r="J29" s="229">
        <v>0</v>
      </c>
      <c r="K29" s="229">
        <v>0</v>
      </c>
      <c r="L29" s="229">
        <v>0</v>
      </c>
      <c r="M29" s="251">
        <v>0</v>
      </c>
      <c r="N29" s="229">
        <v>0</v>
      </c>
      <c r="O29" s="229">
        <v>0</v>
      </c>
      <c r="P29" s="229">
        <v>0</v>
      </c>
      <c r="Q29" s="229">
        <v>0</v>
      </c>
      <c r="R29" s="229" t="s">
        <v>170</v>
      </c>
      <c r="S29" s="229">
        <v>1500000</v>
      </c>
      <c r="T29" s="229">
        <v>1895613</v>
      </c>
      <c r="U29" s="231">
        <v>395613</v>
      </c>
      <c r="V29" s="232">
        <v>0</v>
      </c>
      <c r="W29" s="229">
        <v>395613</v>
      </c>
      <c r="X29" s="229">
        <v>0</v>
      </c>
      <c r="Y29" s="229">
        <v>395613</v>
      </c>
      <c r="Z29" s="227">
        <f>'Bevételek 1m'!M188</f>
        <v>0</v>
      </c>
      <c r="AA29" s="229">
        <f>'Bevételek 1m'!N188</f>
        <v>395613</v>
      </c>
      <c r="AB29" s="227">
        <v>0</v>
      </c>
      <c r="AC29" s="251"/>
      <c r="AD29" s="229"/>
      <c r="AE29" s="229"/>
      <c r="AF29" s="229"/>
      <c r="AG29" s="229"/>
    </row>
    <row r="30" spans="1:36" x14ac:dyDescent="0.2">
      <c r="A30" s="228">
        <v>22</v>
      </c>
      <c r="B30" s="227" t="s">
        <v>171</v>
      </c>
      <c r="C30" s="229"/>
      <c r="D30" s="229"/>
      <c r="E30" s="229"/>
      <c r="F30" s="229">
        <v>20668</v>
      </c>
      <c r="G30" s="229">
        <v>20668</v>
      </c>
      <c r="H30" s="229">
        <v>0</v>
      </c>
      <c r="I30" s="229">
        <v>20668</v>
      </c>
      <c r="J30" s="229">
        <v>-20668</v>
      </c>
      <c r="K30" s="229">
        <v>0</v>
      </c>
      <c r="L30" s="229">
        <v>0</v>
      </c>
      <c r="M30" s="251">
        <f>'Kiadások 2m'!Q161</f>
        <v>1834121</v>
      </c>
      <c r="N30" s="229">
        <f>'Kiadások 2m'!R161</f>
        <v>2145734</v>
      </c>
      <c r="O30" s="229">
        <f>'Kiadások 2m'!S161</f>
        <v>2434754</v>
      </c>
      <c r="P30" s="229">
        <f>'Kiadások 2m'!T161</f>
        <v>-9150</v>
      </c>
      <c r="Q30" s="229">
        <f>'Kiadások 2m'!U161</f>
        <v>2425604</v>
      </c>
      <c r="R30" s="233" t="s">
        <v>172</v>
      </c>
      <c r="S30" s="241">
        <v>3171561</v>
      </c>
      <c r="T30" s="229">
        <v>1131046</v>
      </c>
      <c r="U30" s="231">
        <f>[2]Bevételek!G186</f>
        <v>3761803</v>
      </c>
      <c r="V30" s="232">
        <v>597360</v>
      </c>
      <c r="W30" s="229">
        <v>4359163</v>
      </c>
      <c r="X30" s="229">
        <v>0</v>
      </c>
      <c r="Y30" s="229">
        <v>4359163</v>
      </c>
      <c r="Z30" s="227">
        <f>'Bevételek 1m'!M185</f>
        <v>0</v>
      </c>
      <c r="AA30" s="229">
        <f>'Bevételek 1m'!N185</f>
        <v>4359163</v>
      </c>
      <c r="AB30" s="229">
        <f>'Bevételek 1m'!O185</f>
        <v>1882279</v>
      </c>
      <c r="AC30" s="251">
        <v>1627615</v>
      </c>
      <c r="AD30" s="229">
        <v>730004</v>
      </c>
      <c r="AE30" s="229">
        <v>-145074</v>
      </c>
      <c r="AF30" s="229">
        <v>5431</v>
      </c>
      <c r="AG30" s="229">
        <f>SUM(AE30:AF30)</f>
        <v>-139643</v>
      </c>
    </row>
    <row r="31" spans="1:36" x14ac:dyDescent="0.2">
      <c r="A31" s="228">
        <v>23</v>
      </c>
      <c r="B31" s="227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51"/>
      <c r="N31" s="229"/>
      <c r="O31" s="229"/>
      <c r="P31" s="229"/>
      <c r="Q31" s="229"/>
      <c r="R31" s="233" t="s">
        <v>408</v>
      </c>
      <c r="S31" s="241"/>
      <c r="T31" s="229"/>
      <c r="U31" s="231"/>
      <c r="V31" s="232">
        <v>17582</v>
      </c>
      <c r="W31" s="229">
        <v>17582</v>
      </c>
      <c r="X31" s="229">
        <v>0</v>
      </c>
      <c r="Y31" s="229">
        <v>17582</v>
      </c>
      <c r="Z31" s="229">
        <v>-17582</v>
      </c>
      <c r="AA31" s="227">
        <v>0</v>
      </c>
      <c r="AB31" s="227">
        <v>0</v>
      </c>
      <c r="AC31" s="251"/>
      <c r="AD31" s="229">
        <v>0</v>
      </c>
      <c r="AE31" s="229">
        <v>0</v>
      </c>
      <c r="AF31" s="229">
        <f>SUM('Bevételek 1m'!U186)</f>
        <v>3624</v>
      </c>
      <c r="AG31" s="229">
        <f>SUM(AE31:AF31)</f>
        <v>3624</v>
      </c>
      <c r="AI31" s="240">
        <f>N32-AD32</f>
        <v>0</v>
      </c>
    </row>
    <row r="32" spans="1:36" x14ac:dyDescent="0.2">
      <c r="A32" s="228">
        <v>24</v>
      </c>
      <c r="B32" s="236" t="s">
        <v>173</v>
      </c>
      <c r="C32" s="237">
        <f>C28</f>
        <v>4348414</v>
      </c>
      <c r="D32" s="237">
        <f>D28+D29</f>
        <v>6878904</v>
      </c>
      <c r="E32" s="237">
        <f>E28</f>
        <v>3980355</v>
      </c>
      <c r="F32" s="237">
        <f>F28</f>
        <v>-434457</v>
      </c>
      <c r="G32" s="237">
        <f>G28</f>
        <v>3545898</v>
      </c>
      <c r="H32" s="237">
        <f>H28</f>
        <v>-35914</v>
      </c>
      <c r="I32" s="237">
        <f>G32+H32</f>
        <v>3509984</v>
      </c>
      <c r="J32" s="237">
        <f>J28</f>
        <v>222651</v>
      </c>
      <c r="K32" s="237">
        <f>K28</f>
        <v>3732635</v>
      </c>
      <c r="L32" s="237">
        <f>L28</f>
        <v>1576837</v>
      </c>
      <c r="M32" s="253">
        <f>SUM(M28)</f>
        <v>5136745</v>
      </c>
      <c r="N32" s="283">
        <f>SUM(N28)</f>
        <v>3490943</v>
      </c>
      <c r="O32" s="283">
        <f>SUM(O28)</f>
        <v>907898</v>
      </c>
      <c r="P32" s="283">
        <f>SUM(P28)</f>
        <v>277171</v>
      </c>
      <c r="Q32" s="283">
        <f>SUM(Q28)</f>
        <v>1185069</v>
      </c>
      <c r="R32" s="237" t="s">
        <v>174</v>
      </c>
      <c r="S32" s="237" t="e">
        <f>SUM(S28:S31)</f>
        <v>#REF!</v>
      </c>
      <c r="T32" s="237">
        <f>SUM(T28:T31)</f>
        <v>5092656</v>
      </c>
      <c r="U32" s="238" t="e">
        <f>SUM(U28:U31)</f>
        <v>#REF!</v>
      </c>
      <c r="V32" s="239">
        <f>V28+V30</f>
        <v>601360</v>
      </c>
      <c r="W32" s="237" t="e">
        <f>W28+W30</f>
        <v>#REF!</v>
      </c>
      <c r="X32" s="237">
        <f t="shared" ref="X32:Y32" si="7">X28+X30</f>
        <v>0</v>
      </c>
      <c r="Y32" s="237">
        <f t="shared" si="7"/>
        <v>4468163</v>
      </c>
      <c r="Z32" s="237">
        <v>150000</v>
      </c>
      <c r="AA32" s="237">
        <f>AA28+AA30</f>
        <v>4618163</v>
      </c>
      <c r="AB32" s="237">
        <f>AB28+AB30</f>
        <v>2137538</v>
      </c>
      <c r="AC32" s="253">
        <f>SUM(AC30,AC28)</f>
        <v>5136745</v>
      </c>
      <c r="AD32" s="283">
        <f>SUM(AD30,AD28)</f>
        <v>3490943</v>
      </c>
      <c r="AE32" s="283">
        <f>SUM(AE30,AE28)+AE31</f>
        <v>907898</v>
      </c>
      <c r="AF32" s="283">
        <f t="shared" ref="AF32:AG32" si="8">SUM(AF30,AF28)+AF31</f>
        <v>283171</v>
      </c>
      <c r="AG32" s="283">
        <f t="shared" si="8"/>
        <v>1191069</v>
      </c>
    </row>
    <row r="33" spans="1:33" x14ac:dyDescent="0.2">
      <c r="A33" s="228">
        <v>25</v>
      </c>
      <c r="B33" s="236" t="s">
        <v>175</v>
      </c>
      <c r="C33" s="237">
        <f>C18+C28</f>
        <v>7676322</v>
      </c>
      <c r="D33" s="237">
        <f>D18+D28+D29</f>
        <v>12344013</v>
      </c>
      <c r="E33" s="237">
        <f>E18+E28</f>
        <v>7275559</v>
      </c>
      <c r="F33" s="237">
        <f>F18+F28+F30</f>
        <v>811135</v>
      </c>
      <c r="G33" s="237">
        <f>G18+G28+G30</f>
        <v>8086694</v>
      </c>
      <c r="H33" s="237">
        <f>H18+H28+H30</f>
        <v>210060</v>
      </c>
      <c r="I33" s="237">
        <f>I18+I28+I30</f>
        <v>8296754</v>
      </c>
      <c r="J33" s="237">
        <f>J18+J28+J30</f>
        <v>220434</v>
      </c>
      <c r="K33" s="237">
        <f>K20+K32</f>
        <v>8517188</v>
      </c>
      <c r="L33" s="237">
        <f>L20+L32</f>
        <v>5497662</v>
      </c>
      <c r="M33" s="253">
        <f>SUM(M20,M32)</f>
        <v>12106839</v>
      </c>
      <c r="N33" s="283">
        <f>SUM(N20,N32)</f>
        <v>9741730</v>
      </c>
      <c r="O33" s="283">
        <f>SUM(O20,O32)</f>
        <v>7472143</v>
      </c>
      <c r="P33" s="283">
        <f>SUM(P20,P32)+P30+9150</f>
        <v>556414</v>
      </c>
      <c r="Q33" s="283">
        <f>SUM(Q20,Q32)</f>
        <v>8028557</v>
      </c>
      <c r="R33" s="236" t="s">
        <v>175</v>
      </c>
      <c r="S33" s="243" t="e">
        <f>S20+S32</f>
        <v>#REF!</v>
      </c>
      <c r="T33" s="243">
        <f>T32+T20</f>
        <v>10557765</v>
      </c>
      <c r="U33" s="244" t="e">
        <f>U20+U32</f>
        <v>#REF!</v>
      </c>
      <c r="V33" s="245">
        <f>V20+V31+V32</f>
        <v>811135</v>
      </c>
      <c r="W33" s="243" t="e">
        <f>W20+W31+W32+W29</f>
        <v>#REF!</v>
      </c>
      <c r="X33" s="243">
        <f>X20+X31+X32+X29</f>
        <v>210060</v>
      </c>
      <c r="Y33" s="243">
        <f>Y20+Y31+Y32+Y29</f>
        <v>6641754</v>
      </c>
      <c r="Z33" s="237">
        <f>Z20+Z31+Z32</f>
        <v>220434</v>
      </c>
      <c r="AA33" s="237">
        <f>AA20+AA31+AA32+AA29</f>
        <v>6862188</v>
      </c>
      <c r="AB33" s="237">
        <f>AB20+AB32</f>
        <v>5497662</v>
      </c>
      <c r="AC33" s="253">
        <f>SUM(AC20,AC32)</f>
        <v>12106839</v>
      </c>
      <c r="AD33" s="283">
        <f>SUM(AD20,AD32)</f>
        <v>9741730</v>
      </c>
      <c r="AE33" s="283">
        <f>SUM(AE20,AE32)</f>
        <v>7472143</v>
      </c>
      <c r="AF33" s="283">
        <f>SUM(AF20,AF32)</f>
        <v>556414</v>
      </c>
      <c r="AG33" s="283">
        <f t="shared" ref="AG33" si="9">SUM(AG20,AG32)</f>
        <v>8028557</v>
      </c>
    </row>
    <row r="34" spans="1:33" ht="19.5" customHeight="1" x14ac:dyDescent="0.2"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  <c r="T34" s="390"/>
      <c r="U34" s="390"/>
      <c r="V34" s="390"/>
      <c r="W34" s="390"/>
      <c r="X34" s="390"/>
      <c r="Y34" s="390"/>
      <c r="Z34" s="390"/>
      <c r="AA34" s="390"/>
    </row>
    <row r="35" spans="1:33" ht="13.5" customHeight="1" x14ac:dyDescent="0.25"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246"/>
      <c r="V35" s="246"/>
      <c r="W35" s="247"/>
      <c r="X35" s="247"/>
      <c r="Y35" s="247"/>
    </row>
    <row r="36" spans="1:33" x14ac:dyDescent="0.2">
      <c r="L36" s="226" t="s">
        <v>278</v>
      </c>
      <c r="M36" s="254">
        <f>M33-'Kiadások 2m'!Q163</f>
        <v>0</v>
      </c>
      <c r="N36" s="240">
        <f>N33-'Kiadások 2m'!R163</f>
        <v>0</v>
      </c>
      <c r="O36" s="240">
        <f>O33-'Kiadások 2m'!S163</f>
        <v>0</v>
      </c>
      <c r="P36" s="240">
        <f>P33-'Kiadások 2m'!T163</f>
        <v>0</v>
      </c>
      <c r="Q36" s="240">
        <f>Q33-'Kiadások 2m'!U163</f>
        <v>0</v>
      </c>
      <c r="Y36" s="240"/>
      <c r="AB36" s="226" t="s">
        <v>278</v>
      </c>
      <c r="AC36" s="254">
        <f>'Mérleg 9m '!AC33-'Bevételek 1m'!R190</f>
        <v>0</v>
      </c>
      <c r="AD36" s="240">
        <f>'Mérleg 9m '!AD33-'Bevételek 1m'!S190</f>
        <v>0</v>
      </c>
      <c r="AE36" s="240">
        <f>'Mérleg 9m '!AE33-'Bevételek 1m'!T190</f>
        <v>0</v>
      </c>
      <c r="AF36" s="240">
        <f>'Mérleg 9m '!AF33-'Bevételek 1m'!U190</f>
        <v>0</v>
      </c>
      <c r="AG36" s="240">
        <f>'Mérleg 9m '!AG33-'Bevételek 1m'!V190</f>
        <v>0</v>
      </c>
    </row>
    <row r="37" spans="1:33" x14ac:dyDescent="0.2">
      <c r="E37" s="240"/>
      <c r="F37" s="240"/>
      <c r="G37" s="240"/>
      <c r="H37" s="240"/>
      <c r="I37" s="240"/>
      <c r="J37" s="240"/>
      <c r="K37" s="240"/>
      <c r="L37" s="240"/>
      <c r="M37" s="254"/>
      <c r="N37" s="240"/>
      <c r="O37" s="240"/>
      <c r="P37" s="240"/>
      <c r="Q37" s="240"/>
      <c r="S37" s="240"/>
    </row>
  </sheetData>
  <mergeCells count="38">
    <mergeCell ref="AF5:AG5"/>
    <mergeCell ref="A7:A9"/>
    <mergeCell ref="U7:U9"/>
    <mergeCell ref="AD7:AD9"/>
    <mergeCell ref="AB7:AB9"/>
    <mergeCell ref="T7:T9"/>
    <mergeCell ref="P7:P9"/>
    <mergeCell ref="AF7:AF9"/>
    <mergeCell ref="AG7:AG9"/>
    <mergeCell ref="B1:R1"/>
    <mergeCell ref="B7:B9"/>
    <mergeCell ref="C7:C9"/>
    <mergeCell ref="D7:D9"/>
    <mergeCell ref="E7:E9"/>
    <mergeCell ref="F7:F9"/>
    <mergeCell ref="G7:G9"/>
    <mergeCell ref="H7:H9"/>
    <mergeCell ref="I7:I9"/>
    <mergeCell ref="L7:L9"/>
    <mergeCell ref="M7:M9"/>
    <mergeCell ref="A3:AE3"/>
    <mergeCell ref="AE7:AE9"/>
    <mergeCell ref="Q7:Q9"/>
    <mergeCell ref="AC7:AC9"/>
    <mergeCell ref="B35:T35"/>
    <mergeCell ref="B34:AA34"/>
    <mergeCell ref="V7:V9"/>
    <mergeCell ref="W7:W9"/>
    <mergeCell ref="X7:X9"/>
    <mergeCell ref="Y7:Y9"/>
    <mergeCell ref="Z7:Z9"/>
    <mergeCell ref="AA7:AA9"/>
    <mergeCell ref="J7:J9"/>
    <mergeCell ref="K7:K9"/>
    <mergeCell ref="R7:R9"/>
    <mergeCell ref="S7:S9"/>
    <mergeCell ref="N7:N9"/>
    <mergeCell ref="O7:O9"/>
  </mergeCells>
  <phoneticPr fontId="14" type="noConversion"/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0" orientation="landscape" r:id="rId1"/>
  <headerFooter>
    <oddFooter>&amp;P. oldal</oddFooter>
  </headerFooter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9</vt:i4>
      </vt:variant>
    </vt:vector>
  </HeadingPairs>
  <TitlesOfParts>
    <vt:vector size="18" baseType="lpstr">
      <vt:lpstr>Bevételek 1m</vt:lpstr>
      <vt:lpstr>Kiadások 2m</vt:lpstr>
      <vt:lpstr>Normatíva 3m</vt:lpstr>
      <vt:lpstr>Beruházások 4m</vt:lpstr>
      <vt:lpstr>Támogatás 5m</vt:lpstr>
      <vt:lpstr>Felújítás 6m</vt:lpstr>
      <vt:lpstr> Tartalék 7m</vt:lpstr>
      <vt:lpstr> Gördülő 8m</vt:lpstr>
      <vt:lpstr>Mérleg 9m </vt:lpstr>
      <vt:lpstr>' Gördülő 8m'!Nyomtatási_terület</vt:lpstr>
      <vt:lpstr>' Tartalék 7m'!Nyomtatási_terület</vt:lpstr>
      <vt:lpstr>'Beruházások 4m'!Nyomtatási_terület</vt:lpstr>
      <vt:lpstr>'Bevételek 1m'!Nyomtatási_terület</vt:lpstr>
      <vt:lpstr>'Felújítás 6m'!Nyomtatási_terület</vt:lpstr>
      <vt:lpstr>'Kiadások 2m'!Nyomtatási_terület</vt:lpstr>
      <vt:lpstr>'Mérleg 9m '!Nyomtatási_terület</vt:lpstr>
      <vt:lpstr>'Normatíva 3m'!Nyomtatási_terület</vt:lpstr>
      <vt:lpstr>'Támogatás 5m'!Nyomtatási_terület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2025-06-18T08:32:20Z</dcterms:modified>
</cp:coreProperties>
</file>